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5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trlProps/ctrlProp53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-240" yWindow="540" windowWidth="12645" windowHeight="10500" tabRatio="773"/>
  </bookViews>
  <sheets>
    <sheet name="ปก" sheetId="71" r:id="rId1"/>
    <sheet name="แหล่งวัสดุ" sheetId="58" r:id="rId2"/>
    <sheet name="งวดงาน" sheetId="34" r:id="rId3"/>
    <sheet name="งวดงานจริง" sheetId="72" r:id="rId4"/>
    <sheet name="BackupAC" sheetId="61" r:id="rId5"/>
    <sheet name="BackupCon" sheetId="73" r:id="rId6"/>
    <sheet name="ราคากลาง" sheetId="70" r:id="rId7"/>
    <sheet name="ปร.5_Roads" sheetId="32" r:id="rId8"/>
    <sheet name="ปร.4_Roads" sheetId="12" r:id="rId9"/>
    <sheet name="ปร.4_งานทั่วไป" sheetId="77" r:id="rId10"/>
    <sheet name="GABION BOX" sheetId="64" r:id="rId11"/>
    <sheet name="1.ต้นทุนถนน AC." sheetId="11" r:id="rId12"/>
    <sheet name="2.ต้นทุนถนน Con." sheetId="74" r:id="rId13"/>
    <sheet name="3.ต้นทุนวางท่อ" sheetId="41" r:id="rId14"/>
    <sheet name="4.ต้นทุนระบายน้ำ" sheetId="43" r:id="rId15"/>
    <sheet name="บ่อพักน้ำใต้ทางเท้า" sheetId="65" r:id="rId16"/>
    <sheet name="S2" sheetId="15" r:id="rId17"/>
    <sheet name="S3" sheetId="14" r:id="rId18"/>
    <sheet name="Slope_Protection" sheetId="33" r:id="rId19"/>
    <sheet name="รางส่งน้ำขั้นบันได" sheetId="63" r:id="rId20"/>
    <sheet name="บ่อรับน้ำ" sheetId="75" r:id="rId21"/>
    <sheet name="NO DELETE" sheetId="42" r:id="rId22"/>
    <sheet name="โครงข่าย" sheetId="66" r:id="rId23"/>
  </sheets>
  <definedNames>
    <definedName name="_xlnm.Print_Area" localSheetId="11">'1.ต้นทุนถนน AC.'!$A$3:$N$153</definedName>
    <definedName name="_xlnm.Print_Area" localSheetId="12">'2.ต้นทุนถนน Con.'!$A$3:$N$93</definedName>
    <definedName name="_xlnm.Print_Area" localSheetId="13">'3.ต้นทุนวางท่อ'!$A$3:$O$169</definedName>
    <definedName name="_xlnm.Print_Area" localSheetId="14">'4.ต้นทุนระบายน้ำ'!$A$3:$O$239</definedName>
    <definedName name="_xlnm.Print_Area" localSheetId="8">ปร.4_Roads!$A$1:$O$174</definedName>
    <definedName name="_xlnm.Print_Titles" localSheetId="11">'1.ต้นทุนถนน AC.'!$3:$9</definedName>
    <definedName name="_xlnm.Print_Titles" localSheetId="13">'3.ต้นทุนวางท่อ'!$3:$9</definedName>
    <definedName name="_xlnm.Print_Titles" localSheetId="14">'4.ต้นทุนระบายน้ำ'!$3:$9</definedName>
  </definedNames>
  <calcPr calcId="145621"/>
</workbook>
</file>

<file path=xl/calcChain.xml><?xml version="1.0" encoding="utf-8"?>
<calcChain xmlns="http://schemas.openxmlformats.org/spreadsheetml/2006/main">
  <c r="R6" i="58" l="1"/>
  <c r="S6" i="58"/>
  <c r="T6" i="58"/>
  <c r="U6" i="58"/>
  <c r="Q6" i="58"/>
  <c r="H233" i="43" l="1"/>
  <c r="H232" i="43"/>
  <c r="H213" i="43"/>
  <c r="H212" i="43"/>
  <c r="H193" i="43"/>
  <c r="H192" i="43"/>
  <c r="H173" i="43"/>
  <c r="H172" i="43"/>
  <c r="F72" i="58" l="1"/>
  <c r="H22" i="43" s="1"/>
  <c r="BK4" i="65" l="1"/>
  <c r="BK3" i="65"/>
  <c r="C149" i="12" s="1"/>
  <c r="B216" i="43" s="1"/>
  <c r="BK2" i="65"/>
  <c r="BK1" i="65"/>
  <c r="BB4" i="65"/>
  <c r="BB3" i="65"/>
  <c r="C148" i="12" s="1"/>
  <c r="B196" i="43" s="1"/>
  <c r="BB2" i="65"/>
  <c r="BB1" i="65"/>
  <c r="AS4" i="65"/>
  <c r="AS3" i="65"/>
  <c r="C147" i="12" s="1"/>
  <c r="B176" i="43" s="1"/>
  <c r="AS2" i="65"/>
  <c r="AS1" i="65"/>
  <c r="AJ4" i="65"/>
  <c r="AJ3" i="65"/>
  <c r="C146" i="12" s="1"/>
  <c r="B156" i="43" s="1"/>
  <c r="AJ2" i="65"/>
  <c r="AJ1" i="65"/>
  <c r="H21" i="43" l="1"/>
  <c r="H20" i="43"/>
  <c r="H19" i="43"/>
  <c r="O76" i="65"/>
  <c r="R76" i="65" s="1"/>
  <c r="F223" i="43" s="1"/>
  <c r="O57" i="65"/>
  <c r="R57" i="65" s="1"/>
  <c r="F203" i="43" s="1"/>
  <c r="O38" i="65"/>
  <c r="R38" i="65" s="1"/>
  <c r="F183" i="43" s="1"/>
  <c r="O19" i="65"/>
  <c r="R19" i="65" s="1"/>
  <c r="F163" i="43" s="1"/>
  <c r="O75" i="65"/>
  <c r="R75" i="65" s="1"/>
  <c r="F226" i="43" s="1"/>
  <c r="O73" i="65"/>
  <c r="F230" i="43" s="1"/>
  <c r="O56" i="65"/>
  <c r="R56" i="65" s="1"/>
  <c r="F206" i="43" s="1"/>
  <c r="O54" i="65"/>
  <c r="F210" i="43" s="1"/>
  <c r="O37" i="65"/>
  <c r="R37" i="65" s="1"/>
  <c r="F186" i="43" s="1"/>
  <c r="O35" i="65"/>
  <c r="F190" i="43" s="1"/>
  <c r="O18" i="65"/>
  <c r="R18" i="65" s="1"/>
  <c r="F166" i="43" s="1"/>
  <c r="O16" i="65"/>
  <c r="F170" i="43" s="1"/>
  <c r="B27" i="65" l="1"/>
  <c r="S27" i="65"/>
  <c r="S46" i="65"/>
  <c r="AI65" i="65"/>
  <c r="AI71" i="65" s="1"/>
  <c r="AG65" i="65"/>
  <c r="AF65" i="65"/>
  <c r="AG71" i="65" s="1"/>
  <c r="AE65" i="65"/>
  <c r="AD65" i="65"/>
  <c r="AC65" i="65"/>
  <c r="AB65" i="65"/>
  <c r="AA65" i="65"/>
  <c r="Z65" i="65"/>
  <c r="Y65" i="65"/>
  <c r="X65" i="65"/>
  <c r="W65" i="65"/>
  <c r="V65" i="65"/>
  <c r="U65" i="65"/>
  <c r="T65" i="65"/>
  <c r="S65" i="65"/>
  <c r="R65" i="65"/>
  <c r="Q65" i="65"/>
  <c r="P65" i="65"/>
  <c r="O65" i="65"/>
  <c r="N65" i="65"/>
  <c r="M65" i="65"/>
  <c r="L65" i="65"/>
  <c r="K65" i="65"/>
  <c r="I61" i="65" s="1"/>
  <c r="J65" i="65"/>
  <c r="I65" i="65"/>
  <c r="C65" i="65"/>
  <c r="B65" i="65"/>
  <c r="B61" i="65"/>
  <c r="AK69" i="65"/>
  <c r="H69" i="65"/>
  <c r="E69" i="65" s="1"/>
  <c r="AK68" i="65"/>
  <c r="H68" i="65"/>
  <c r="H65" i="65" s="1"/>
  <c r="H67" i="65"/>
  <c r="E67" i="65" s="1"/>
  <c r="AH67" i="65" s="1"/>
  <c r="D67" i="65"/>
  <c r="D68" i="65" s="1"/>
  <c r="AK66" i="65"/>
  <c r="E66" i="65"/>
  <c r="AH66" i="65" s="1"/>
  <c r="AK65" i="65"/>
  <c r="D65" i="65"/>
  <c r="G61" i="65" s="1"/>
  <c r="X71" i="65" s="1"/>
  <c r="P63" i="65"/>
  <c r="R63" i="65" s="1"/>
  <c r="T63" i="65" s="1"/>
  <c r="V63" i="65" s="1"/>
  <c r="X63" i="65" s="1"/>
  <c r="Z63" i="65" s="1"/>
  <c r="AB63" i="65" s="1"/>
  <c r="AD63" i="65" s="1"/>
  <c r="AF63" i="65" s="1"/>
  <c r="N63" i="65"/>
  <c r="O61" i="65"/>
  <c r="AI27" i="65"/>
  <c r="AI33" i="65" s="1"/>
  <c r="AI46" i="65"/>
  <c r="AI52" i="65" s="1"/>
  <c r="AG46" i="65"/>
  <c r="AF46" i="65"/>
  <c r="AG52" i="65" s="1"/>
  <c r="AE46" i="65"/>
  <c r="AD46" i="65"/>
  <c r="AC46" i="65"/>
  <c r="AB46" i="65"/>
  <c r="AA46" i="65"/>
  <c r="Z46" i="65"/>
  <c r="Y46" i="65"/>
  <c r="X46" i="65"/>
  <c r="W46" i="65"/>
  <c r="V46" i="65"/>
  <c r="U46" i="65"/>
  <c r="T46" i="65"/>
  <c r="R46" i="65"/>
  <c r="Q46" i="65"/>
  <c r="P46" i="65"/>
  <c r="O46" i="65"/>
  <c r="N46" i="65"/>
  <c r="M46" i="65"/>
  <c r="L46" i="65"/>
  <c r="K46" i="65"/>
  <c r="J46" i="65"/>
  <c r="H42" i="65" s="1"/>
  <c r="I46" i="65"/>
  <c r="N42" i="65" s="1"/>
  <c r="B42" i="65"/>
  <c r="B23" i="65"/>
  <c r="B4" i="65"/>
  <c r="C46" i="65"/>
  <c r="B46" i="65"/>
  <c r="I42" i="65"/>
  <c r="AK50" i="65"/>
  <c r="H50" i="65"/>
  <c r="E50" i="65" s="1"/>
  <c r="AH50" i="65" s="1"/>
  <c r="AK49" i="65"/>
  <c r="H49" i="65"/>
  <c r="H46" i="65" s="1"/>
  <c r="H48" i="65"/>
  <c r="E48" i="65" s="1"/>
  <c r="AH48" i="65" s="1"/>
  <c r="D48" i="65"/>
  <c r="D49" i="65" s="1"/>
  <c r="AK47" i="65"/>
  <c r="E47" i="65"/>
  <c r="AH47" i="65" s="1"/>
  <c r="AK46" i="65"/>
  <c r="D46" i="65"/>
  <c r="G42" i="65" s="1"/>
  <c r="N44" i="65"/>
  <c r="P44" i="65" s="1"/>
  <c r="R44" i="65" s="1"/>
  <c r="T44" i="65" s="1"/>
  <c r="V44" i="65" s="1"/>
  <c r="X44" i="65" s="1"/>
  <c r="Z44" i="65" s="1"/>
  <c r="AB44" i="65" s="1"/>
  <c r="AD44" i="65" s="1"/>
  <c r="AF44" i="65" s="1"/>
  <c r="O42" i="65"/>
  <c r="D27" i="65"/>
  <c r="AK31" i="65"/>
  <c r="AK30" i="65"/>
  <c r="AK28" i="65"/>
  <c r="AK27" i="65"/>
  <c r="C27" i="65"/>
  <c r="D9" i="65"/>
  <c r="AK12" i="65"/>
  <c r="AK11" i="65"/>
  <c r="AK9" i="65"/>
  <c r="AK8" i="65"/>
  <c r="AI8" i="65"/>
  <c r="AI14" i="65" s="1"/>
  <c r="R52" i="65" l="1"/>
  <c r="X52" i="65"/>
  <c r="E49" i="65"/>
  <c r="F66" i="65"/>
  <c r="G66" i="65" s="1"/>
  <c r="E68" i="65"/>
  <c r="AD71" i="65"/>
  <c r="O53" i="65"/>
  <c r="F201" i="43" s="1"/>
  <c r="Q42" i="65"/>
  <c r="F199" i="43" s="1"/>
  <c r="E42" i="65"/>
  <c r="F197" i="43" s="1"/>
  <c r="L42" i="65"/>
  <c r="V71" i="65"/>
  <c r="R61" i="65"/>
  <c r="F220" i="43" s="1"/>
  <c r="N61" i="65"/>
  <c r="H61" i="65"/>
  <c r="Q61" i="65"/>
  <c r="F219" i="43" s="1"/>
  <c r="S71" i="65"/>
  <c r="AA71" i="65"/>
  <c r="AE71" i="65"/>
  <c r="E61" i="65"/>
  <c r="F217" i="43" s="1"/>
  <c r="J61" i="65"/>
  <c r="O71" i="65"/>
  <c r="D69" i="65"/>
  <c r="F69" i="65" s="1"/>
  <c r="F68" i="65"/>
  <c r="AH69" i="65"/>
  <c r="W71" i="65"/>
  <c r="L71" i="65"/>
  <c r="P71" i="65"/>
  <c r="T71" i="65"/>
  <c r="AB71" i="65"/>
  <c r="AF71" i="65"/>
  <c r="D75" i="65" s="1"/>
  <c r="H75" i="65" s="1"/>
  <c r="L75" i="65" s="1"/>
  <c r="F228" i="43" s="1"/>
  <c r="F67" i="65"/>
  <c r="G67" i="65" s="1"/>
  <c r="M71" i="65"/>
  <c r="Q71" i="65"/>
  <c r="U71" i="65"/>
  <c r="Y71" i="65"/>
  <c r="AC71" i="65"/>
  <c r="N71" i="65"/>
  <c r="R71" i="65"/>
  <c r="Z71" i="65"/>
  <c r="R42" i="65"/>
  <c r="F200" i="43" s="1"/>
  <c r="Y52" i="65"/>
  <c r="AC52" i="65"/>
  <c r="M52" i="65"/>
  <c r="U52" i="65"/>
  <c r="O52" i="65"/>
  <c r="D50" i="65"/>
  <c r="F50" i="65" s="1"/>
  <c r="G50" i="65" s="1"/>
  <c r="F49" i="65"/>
  <c r="N52" i="65"/>
  <c r="V52" i="65"/>
  <c r="Z52" i="65"/>
  <c r="AD52" i="65"/>
  <c r="F47" i="65"/>
  <c r="G47" i="65" s="1"/>
  <c r="S52" i="65"/>
  <c r="W52" i="65"/>
  <c r="AA52" i="65"/>
  <c r="AE52" i="65"/>
  <c r="M42" i="65"/>
  <c r="L52" i="65"/>
  <c r="P52" i="65"/>
  <c r="T52" i="65"/>
  <c r="AB52" i="65"/>
  <c r="AF52" i="65"/>
  <c r="D56" i="65" s="1"/>
  <c r="H56" i="65" s="1"/>
  <c r="L56" i="65" s="1"/>
  <c r="F208" i="43" s="1"/>
  <c r="F48" i="65"/>
  <c r="G48" i="65" s="1"/>
  <c r="Q52" i="65"/>
  <c r="AG27" i="65"/>
  <c r="AF27" i="65"/>
  <c r="AG33" i="65" s="1"/>
  <c r="AE27" i="65"/>
  <c r="AD27" i="65"/>
  <c r="AC27" i="65"/>
  <c r="AB27" i="65"/>
  <c r="AA27" i="65"/>
  <c r="Z27" i="65"/>
  <c r="Y27" i="65"/>
  <c r="X27" i="65"/>
  <c r="W27" i="65"/>
  <c r="V27" i="65"/>
  <c r="U27" i="65"/>
  <c r="T27" i="65"/>
  <c r="R27" i="65"/>
  <c r="Q27" i="65"/>
  <c r="P27" i="65"/>
  <c r="O27" i="65"/>
  <c r="N27" i="65"/>
  <c r="M27" i="65"/>
  <c r="L27" i="65"/>
  <c r="K27" i="65"/>
  <c r="J27" i="65"/>
  <c r="I27" i="65"/>
  <c r="B8" i="65"/>
  <c r="AF8" i="65"/>
  <c r="AG14" i="65" s="1"/>
  <c r="AE8" i="65"/>
  <c r="AC8" i="65"/>
  <c r="AB8" i="65"/>
  <c r="AD8" i="65"/>
  <c r="Z8" i="65"/>
  <c r="AG8" i="65"/>
  <c r="Y8" i="65"/>
  <c r="X8" i="65"/>
  <c r="AA8" i="65"/>
  <c r="W8" i="65"/>
  <c r="V8" i="65"/>
  <c r="U8" i="65"/>
  <c r="T8" i="65"/>
  <c r="S8" i="65"/>
  <c r="R8" i="65"/>
  <c r="Q8" i="65"/>
  <c r="P8" i="65"/>
  <c r="O8" i="65"/>
  <c r="N8" i="65"/>
  <c r="M8" i="65"/>
  <c r="L8" i="65"/>
  <c r="K8" i="65"/>
  <c r="J8" i="65"/>
  <c r="I8" i="65"/>
  <c r="C8" i="65"/>
  <c r="H31" i="65"/>
  <c r="E31" i="65" s="1"/>
  <c r="H12" i="65"/>
  <c r="G68" i="65" l="1"/>
  <c r="G65" i="65" s="1"/>
  <c r="F65" i="65"/>
  <c r="O74" i="65" s="1"/>
  <c r="R74" i="65" s="1"/>
  <c r="F227" i="43" s="1"/>
  <c r="AH31" i="65"/>
  <c r="B56" i="65"/>
  <c r="G49" i="65"/>
  <c r="G46" i="65" s="1"/>
  <c r="F46" i="65"/>
  <c r="O55" i="65" s="1"/>
  <c r="R55" i="65" s="1"/>
  <c r="F207" i="43" s="1"/>
  <c r="F214" i="43"/>
  <c r="F202" i="43"/>
  <c r="AH68" i="65"/>
  <c r="AH65" i="65" s="1"/>
  <c r="AH71" i="65" s="1"/>
  <c r="E65" i="65"/>
  <c r="C61" i="65" s="1"/>
  <c r="D61" i="65" s="1"/>
  <c r="AH49" i="65"/>
  <c r="AH46" i="65" s="1"/>
  <c r="AH52" i="65" s="1"/>
  <c r="E46" i="65"/>
  <c r="B75" i="65"/>
  <c r="L61" i="65"/>
  <c r="O72" i="65"/>
  <c r="F221" i="43" s="1"/>
  <c r="D54" i="65"/>
  <c r="H55" i="65" s="1"/>
  <c r="L55" i="65" s="1"/>
  <c r="F205" i="43" s="1"/>
  <c r="F212" i="43" s="1"/>
  <c r="N212" i="43" s="1"/>
  <c r="Q23" i="65"/>
  <c r="F179" i="43" s="1"/>
  <c r="K61" i="65"/>
  <c r="D73" i="65"/>
  <c r="H74" i="65" s="1"/>
  <c r="L74" i="65" s="1"/>
  <c r="F225" i="43" s="1"/>
  <c r="F232" i="43" s="1"/>
  <c r="N232" i="43" s="1"/>
  <c r="M61" i="65"/>
  <c r="B73" i="65"/>
  <c r="B71" i="65"/>
  <c r="C71" i="65" s="1"/>
  <c r="H71" i="65"/>
  <c r="I71" i="65" s="1"/>
  <c r="D71" i="65"/>
  <c r="E71" i="65" s="1"/>
  <c r="F71" i="65"/>
  <c r="G71" i="65" s="1"/>
  <c r="G69" i="65"/>
  <c r="B54" i="65"/>
  <c r="R23" i="65"/>
  <c r="F180" i="43" s="1"/>
  <c r="AA33" i="65"/>
  <c r="W33" i="65"/>
  <c r="Y33" i="65"/>
  <c r="AB33" i="65"/>
  <c r="T33" i="65"/>
  <c r="AF33" i="65"/>
  <c r="D37" i="65" s="1"/>
  <c r="H37" i="65" s="1"/>
  <c r="L37" i="65" s="1"/>
  <c r="F188" i="43" s="1"/>
  <c r="L33" i="65"/>
  <c r="AE33" i="65"/>
  <c r="S33" i="65"/>
  <c r="AD33" i="65"/>
  <c r="B37" i="65" s="1"/>
  <c r="AC33" i="65"/>
  <c r="Z33" i="65"/>
  <c r="N33" i="65"/>
  <c r="Q33" i="65"/>
  <c r="AB14" i="65"/>
  <c r="Y14" i="65"/>
  <c r="T14" i="65"/>
  <c r="AA14" i="65"/>
  <c r="AF14" i="65"/>
  <c r="D18" i="65" s="1"/>
  <c r="W14" i="65"/>
  <c r="L14" i="65"/>
  <c r="AE14" i="65"/>
  <c r="AD14" i="65"/>
  <c r="Q14" i="65"/>
  <c r="N14" i="65"/>
  <c r="Z14" i="65"/>
  <c r="AC14" i="65"/>
  <c r="S14" i="65"/>
  <c r="E12" i="65"/>
  <c r="I23" i="65"/>
  <c r="H23" i="65"/>
  <c r="N23" i="65"/>
  <c r="O23" i="65"/>
  <c r="H30" i="65"/>
  <c r="E30" i="65" s="1"/>
  <c r="AH30" i="65" s="1"/>
  <c r="AH27" i="65" s="1"/>
  <c r="AH33" i="65" s="1"/>
  <c r="H29" i="65"/>
  <c r="E29" i="65" s="1"/>
  <c r="AH29" i="65" s="1"/>
  <c r="D29" i="65"/>
  <c r="D30" i="65" s="1"/>
  <c r="E28" i="65"/>
  <c r="N25" i="65"/>
  <c r="P25" i="65" s="1"/>
  <c r="R25" i="65" s="1"/>
  <c r="T25" i="65" s="1"/>
  <c r="V25" i="65" s="1"/>
  <c r="X25" i="65" s="1"/>
  <c r="Z25" i="65" s="1"/>
  <c r="AB25" i="65" s="1"/>
  <c r="AD25" i="65" s="1"/>
  <c r="AF25" i="65" s="1"/>
  <c r="O4" i="65"/>
  <c r="N4" i="65"/>
  <c r="I4" i="65"/>
  <c r="H4" i="65"/>
  <c r="E9" i="65"/>
  <c r="AH9" i="65" s="1"/>
  <c r="D10" i="65"/>
  <c r="F28" i="65" l="1"/>
  <c r="G28" i="65" s="1"/>
  <c r="AH28" i="65"/>
  <c r="E27" i="65"/>
  <c r="H27" i="65"/>
  <c r="C42" i="65"/>
  <c r="D42" i="65" s="1"/>
  <c r="K42" i="65" s="1"/>
  <c r="P42" i="65" s="1"/>
  <c r="F198" i="43" s="1"/>
  <c r="H52" i="65"/>
  <c r="I52" i="65" s="1"/>
  <c r="B52" i="65"/>
  <c r="F52" i="65"/>
  <c r="G52" i="65" s="1"/>
  <c r="D52" i="65"/>
  <c r="E52" i="65" s="1"/>
  <c r="F222" i="43"/>
  <c r="F234" i="43"/>
  <c r="H18" i="65"/>
  <c r="L18" i="65" s="1"/>
  <c r="F168" i="43" s="1"/>
  <c r="P61" i="65"/>
  <c r="F218" i="43" s="1"/>
  <c r="O34" i="65"/>
  <c r="F181" i="43" s="1"/>
  <c r="D35" i="65"/>
  <c r="H36" i="65" s="1"/>
  <c r="L36" i="65" s="1"/>
  <c r="F185" i="43" s="1"/>
  <c r="B18" i="65"/>
  <c r="O15" i="65"/>
  <c r="F161" i="43" s="1"/>
  <c r="D16" i="65"/>
  <c r="H17" i="65" s="1"/>
  <c r="L17" i="65" s="1"/>
  <c r="F165" i="43" s="1"/>
  <c r="J71" i="65"/>
  <c r="H73" i="65" s="1"/>
  <c r="L73" i="65" s="1"/>
  <c r="F224" i="43" s="1"/>
  <c r="AH12" i="65"/>
  <c r="M4" i="65"/>
  <c r="M23" i="65"/>
  <c r="F30" i="65"/>
  <c r="G30" i="65" s="1"/>
  <c r="D31" i="65"/>
  <c r="L23" i="65"/>
  <c r="Q4" i="65"/>
  <c r="F159" i="43" s="1"/>
  <c r="L4" i="65"/>
  <c r="R4" i="65"/>
  <c r="F160" i="43" s="1"/>
  <c r="F29" i="65"/>
  <c r="G29" i="65" s="1"/>
  <c r="D11" i="65"/>
  <c r="N6" i="65"/>
  <c r="P6" i="65" s="1"/>
  <c r="R6" i="65" s="1"/>
  <c r="T6" i="65" s="1"/>
  <c r="V6" i="65" s="1"/>
  <c r="X6" i="65" s="1"/>
  <c r="Z6" i="65" s="1"/>
  <c r="AB6" i="65" s="1"/>
  <c r="AD6" i="65" s="1"/>
  <c r="AF6" i="65" s="1"/>
  <c r="H11" i="65"/>
  <c r="H10" i="65"/>
  <c r="E10" i="65" s="1"/>
  <c r="F9" i="65"/>
  <c r="G9" i="65" s="1"/>
  <c r="C52" i="65" l="1"/>
  <c r="J52" i="65" s="1"/>
  <c r="H54" i="65" s="1"/>
  <c r="L54" i="65" s="1"/>
  <c r="F204" i="43" s="1"/>
  <c r="B33" i="65"/>
  <c r="F33" i="65"/>
  <c r="G33" i="65" s="1"/>
  <c r="C23" i="65"/>
  <c r="D23" i="65" s="1"/>
  <c r="H33" i="65"/>
  <c r="I33" i="65" s="1"/>
  <c r="D33" i="65"/>
  <c r="E33" i="65" s="1"/>
  <c r="E11" i="65"/>
  <c r="H8" i="65"/>
  <c r="F229" i="43"/>
  <c r="F233" i="43"/>
  <c r="N233" i="43" s="1"/>
  <c r="F182" i="43"/>
  <c r="F194" i="43"/>
  <c r="F162" i="43"/>
  <c r="F174" i="43"/>
  <c r="F10" i="65"/>
  <c r="G10" i="65" s="1"/>
  <c r="AH10" i="65"/>
  <c r="F31" i="65"/>
  <c r="D12" i="65"/>
  <c r="F11" i="65"/>
  <c r="G11" i="65" s="1"/>
  <c r="D44" i="34"/>
  <c r="E53" i="34"/>
  <c r="F40" i="34"/>
  <c r="F37" i="34"/>
  <c r="B37" i="34"/>
  <c r="B40" i="34" s="1"/>
  <c r="L35" i="34"/>
  <c r="L38" i="34" s="1"/>
  <c r="F34" i="34"/>
  <c r="F31" i="34"/>
  <c r="F25" i="34"/>
  <c r="F28" i="34"/>
  <c r="F22" i="34"/>
  <c r="D18" i="34"/>
  <c r="D45" i="34" s="1"/>
  <c r="D19" i="34"/>
  <c r="D46" i="34" s="1"/>
  <c r="F10" i="34"/>
  <c r="F9" i="34"/>
  <c r="E10" i="34"/>
  <c r="E13" i="34" s="1"/>
  <c r="E9" i="34"/>
  <c r="E12" i="34" s="1"/>
  <c r="D7" i="34"/>
  <c r="D10" i="34" s="1"/>
  <c r="D13" i="34" s="1"/>
  <c r="D16" i="34" s="1"/>
  <c r="B18" i="70"/>
  <c r="B19" i="70"/>
  <c r="I18" i="70"/>
  <c r="G11" i="32"/>
  <c r="E11" i="32"/>
  <c r="E35" i="12"/>
  <c r="F209" i="43" l="1"/>
  <c r="F213" i="43"/>
  <c r="N213" i="43" s="1"/>
  <c r="D22" i="34"/>
  <c r="D25" i="34" s="1"/>
  <c r="AH11" i="65"/>
  <c r="AH8" i="65" s="1"/>
  <c r="AH14" i="65" s="1"/>
  <c r="E8" i="65"/>
  <c r="C33" i="65"/>
  <c r="J33" i="65"/>
  <c r="F12" i="65"/>
  <c r="D8" i="65"/>
  <c r="G23" i="65"/>
  <c r="E23" i="65"/>
  <c r="F177" i="43" s="1"/>
  <c r="G31" i="65"/>
  <c r="G27" i="65" s="1"/>
  <c r="F27" i="65"/>
  <c r="O36" i="65" s="1"/>
  <c r="R36" i="65" s="1"/>
  <c r="F187" i="43" s="1"/>
  <c r="F192" i="43" s="1"/>
  <c r="N192" i="43" s="1"/>
  <c r="J23" i="65" l="1"/>
  <c r="K23" i="65"/>
  <c r="B14" i="65"/>
  <c r="F14" i="65"/>
  <c r="G14" i="65" s="1"/>
  <c r="C4" i="65"/>
  <c r="H14" i="65"/>
  <c r="I14" i="65" s="1"/>
  <c r="D14" i="65"/>
  <c r="E14" i="65" s="1"/>
  <c r="O33" i="65"/>
  <c r="V33" i="65"/>
  <c r="R33" i="65"/>
  <c r="U33" i="65"/>
  <c r="M33" i="65"/>
  <c r="P33" i="65"/>
  <c r="X33" i="65"/>
  <c r="G12" i="65"/>
  <c r="G8" i="65" s="1"/>
  <c r="F8" i="65"/>
  <c r="O17" i="65" s="1"/>
  <c r="R17" i="65" s="1"/>
  <c r="F167" i="43" s="1"/>
  <c r="G4" i="65"/>
  <c r="E4" i="65"/>
  <c r="F157" i="43" s="1"/>
  <c r="C14" i="65" l="1"/>
  <c r="J14" i="65" s="1"/>
  <c r="F172" i="43"/>
  <c r="N172" i="43" s="1"/>
  <c r="B35" i="65"/>
  <c r="H35" i="65" s="1"/>
  <c r="L35" i="65" s="1"/>
  <c r="F184" i="43" s="1"/>
  <c r="J4" i="65"/>
  <c r="R14" i="65"/>
  <c r="X14" i="65"/>
  <c r="P14" i="65"/>
  <c r="V14" i="65"/>
  <c r="U14" i="65"/>
  <c r="M14" i="65"/>
  <c r="O14" i="65"/>
  <c r="P23" i="65"/>
  <c r="F178" i="43" s="1"/>
  <c r="H122" i="43"/>
  <c r="F193" i="43" l="1"/>
  <c r="N193" i="43" s="1"/>
  <c r="F189" i="43"/>
  <c r="B16" i="65"/>
  <c r="H71" i="43"/>
  <c r="H85" i="43" s="1"/>
  <c r="H62" i="43"/>
  <c r="J43" i="43"/>
  <c r="N43" i="43" s="1"/>
  <c r="H16" i="65" l="1"/>
  <c r="L16" i="65" s="1"/>
  <c r="F164" i="43" s="1"/>
  <c r="J50" i="43"/>
  <c r="N50" i="43" s="1"/>
  <c r="M15" i="42"/>
  <c r="M16" i="42"/>
  <c r="M17" i="42"/>
  <c r="M18" i="42"/>
  <c r="M14" i="42"/>
  <c r="M10" i="42"/>
  <c r="M11" i="42"/>
  <c r="M12" i="42"/>
  <c r="M13" i="42"/>
  <c r="M9" i="42"/>
  <c r="M5" i="42"/>
  <c r="M6" i="42"/>
  <c r="M7" i="42"/>
  <c r="M8" i="42"/>
  <c r="M4" i="42"/>
  <c r="G35" i="74"/>
  <c r="G34" i="74"/>
  <c r="M34" i="74" s="1"/>
  <c r="F173" i="43" l="1"/>
  <c r="F169" i="43"/>
  <c r="K50" i="41"/>
  <c r="K42" i="41"/>
  <c r="K36" i="43" s="1"/>
  <c r="N36" i="43" s="1"/>
  <c r="G163" i="41" l="1"/>
  <c r="G151" i="41"/>
  <c r="G139" i="41"/>
  <c r="G127" i="41"/>
  <c r="G115" i="41" l="1"/>
  <c r="L24" i="41"/>
  <c r="M35" i="74" l="1"/>
  <c r="I81" i="11" l="1"/>
  <c r="H152" i="12"/>
  <c r="H153" i="12"/>
  <c r="F59" i="64" l="1"/>
  <c r="F58" i="64"/>
  <c r="E58" i="64"/>
  <c r="B58" i="64"/>
  <c r="E56" i="64"/>
  <c r="B56" i="64"/>
  <c r="E54" i="64"/>
  <c r="B54" i="64"/>
  <c r="E52" i="64"/>
  <c r="B52" i="64"/>
  <c r="E50" i="64"/>
  <c r="B50" i="64"/>
  <c r="A50" i="64"/>
  <c r="A52" i="64" s="1"/>
  <c r="A54" i="64" s="1"/>
  <c r="A56" i="64" s="1"/>
  <c r="A58" i="64" s="1"/>
  <c r="A59" i="64" s="1"/>
  <c r="E48" i="64"/>
  <c r="B48" i="64"/>
  <c r="F38" i="64"/>
  <c r="F37" i="64"/>
  <c r="E37" i="64"/>
  <c r="B37" i="64"/>
  <c r="E35" i="64"/>
  <c r="B35" i="64"/>
  <c r="E33" i="64"/>
  <c r="B33" i="64"/>
  <c r="E31" i="64"/>
  <c r="B31" i="64"/>
  <c r="E29" i="64"/>
  <c r="B29" i="64"/>
  <c r="A29" i="64"/>
  <c r="A31" i="64" s="1"/>
  <c r="A33" i="64" s="1"/>
  <c r="A35" i="64" s="1"/>
  <c r="A37" i="64" s="1"/>
  <c r="A38" i="64" s="1"/>
  <c r="E27" i="64"/>
  <c r="B27" i="64"/>
  <c r="B16" i="64"/>
  <c r="B14" i="64"/>
  <c r="B12" i="64"/>
  <c r="B10" i="64"/>
  <c r="B8" i="64"/>
  <c r="B6" i="64"/>
  <c r="E14" i="64"/>
  <c r="E10" i="64"/>
  <c r="A8" i="64"/>
  <c r="A10" i="64" s="1"/>
  <c r="A12" i="64" s="1"/>
  <c r="A14" i="64" s="1"/>
  <c r="A16" i="64" s="1"/>
  <c r="A17" i="64" s="1"/>
  <c r="E12" i="64"/>
  <c r="I54" i="74"/>
  <c r="I75" i="74" s="1"/>
  <c r="I53" i="74"/>
  <c r="H114" i="41" s="1"/>
  <c r="H126" i="41" s="1"/>
  <c r="H138" i="41" s="1"/>
  <c r="H150" i="41" s="1"/>
  <c r="H162" i="41" s="1"/>
  <c r="I52" i="74"/>
  <c r="H113" i="41" s="1"/>
  <c r="H125" i="41" s="1"/>
  <c r="H137" i="41" s="1"/>
  <c r="H149" i="41" s="1"/>
  <c r="H161" i="41" s="1"/>
  <c r="I74" i="74" l="1"/>
  <c r="G58" i="64"/>
  <c r="H58" i="64" s="1"/>
  <c r="G37" i="64"/>
  <c r="H37" i="64" s="1"/>
  <c r="C4" i="58"/>
  <c r="F64" i="58"/>
  <c r="F63" i="58"/>
  <c r="F62" i="58"/>
  <c r="F61" i="58"/>
  <c r="F60" i="58"/>
  <c r="B16" i="58" l="1"/>
  <c r="B10" i="58"/>
  <c r="K17" i="11" l="1"/>
  <c r="BE25" i="42" l="1"/>
  <c r="F53" i="34" l="1"/>
  <c r="AK77" i="42" l="1"/>
  <c r="D64" i="12" s="1"/>
  <c r="AM76" i="42"/>
  <c r="AN76" i="42"/>
  <c r="AL76" i="42"/>
  <c r="AL77" i="42" s="1"/>
  <c r="I64" i="12" s="1"/>
  <c r="H3" i="12" l="1"/>
  <c r="E54" i="34" l="1"/>
  <c r="D54" i="34"/>
  <c r="E52" i="34"/>
  <c r="E51" i="34"/>
  <c r="F12" i="34"/>
  <c r="A9" i="34"/>
  <c r="D43" i="34"/>
  <c r="F90" i="42" l="1"/>
  <c r="F91" i="42"/>
  <c r="F89" i="42"/>
  <c r="F87" i="42"/>
  <c r="F88" i="42"/>
  <c r="F86" i="42"/>
  <c r="F84" i="42"/>
  <c r="F85" i="42"/>
  <c r="F83" i="42"/>
  <c r="F82" i="42"/>
  <c r="F81" i="42"/>
  <c r="F80" i="42"/>
  <c r="F79" i="42"/>
  <c r="F78" i="42"/>
  <c r="F77" i="42"/>
  <c r="L85" i="42"/>
  <c r="L84" i="42"/>
  <c r="L83" i="42"/>
  <c r="L11" i="34" l="1"/>
  <c r="L14" i="34" s="1"/>
  <c r="L17" i="34" s="1"/>
  <c r="L20" i="34" s="1"/>
  <c r="L23" i="34" s="1"/>
  <c r="L26" i="34" s="1"/>
  <c r="L29" i="34" s="1"/>
  <c r="BK33" i="15" l="1"/>
  <c r="BK34" i="15"/>
  <c r="BK35" i="15"/>
  <c r="BK36" i="15"/>
  <c r="BK32" i="15"/>
  <c r="D57" i="34" l="1"/>
  <c r="J28" i="77" l="1"/>
  <c r="H28" i="77"/>
  <c r="K28" i="77" s="1"/>
  <c r="H27" i="77"/>
  <c r="K27" i="77" s="1"/>
  <c r="J26" i="77"/>
  <c r="H26" i="77"/>
  <c r="K26" i="77" s="1"/>
  <c r="H25" i="77"/>
  <c r="K25" i="77" s="1"/>
  <c r="J24" i="77"/>
  <c r="H24" i="77"/>
  <c r="K24" i="77" s="1"/>
  <c r="J23" i="77"/>
  <c r="H23" i="77"/>
  <c r="K23" i="77" s="1"/>
  <c r="J22" i="77"/>
  <c r="H22" i="77"/>
  <c r="K22" i="77" s="1"/>
  <c r="H21" i="77"/>
  <c r="K21" i="77" s="1"/>
  <c r="J20" i="77"/>
  <c r="H20" i="77"/>
  <c r="K20" i="77" s="1"/>
  <c r="J19" i="77"/>
  <c r="H19" i="77"/>
  <c r="K19" i="77" s="1"/>
  <c r="H18" i="77"/>
  <c r="K18" i="77" s="1"/>
  <c r="J17" i="77"/>
  <c r="H17" i="77"/>
  <c r="K17" i="77" s="1"/>
  <c r="J16" i="77"/>
  <c r="H16" i="77"/>
  <c r="K16" i="77" s="1"/>
  <c r="J15" i="77"/>
  <c r="H15" i="77"/>
  <c r="K15" i="77" s="1"/>
  <c r="J14" i="77"/>
  <c r="H14" i="77"/>
  <c r="K14" i="77" s="1"/>
  <c r="J13" i="77"/>
  <c r="H13" i="77"/>
  <c r="K13" i="77" s="1"/>
  <c r="K12" i="77"/>
  <c r="BM36" i="15"/>
  <c r="BM35" i="15"/>
  <c r="BM34" i="15"/>
  <c r="BM33" i="15"/>
  <c r="BU32" i="15"/>
  <c r="BP32" i="15"/>
  <c r="H31" i="77" l="1"/>
  <c r="K33" i="77" s="1"/>
  <c r="Y90" i="42"/>
  <c r="Y91" i="42" s="1"/>
  <c r="Y87" i="42"/>
  <c r="Y88" i="42" s="1"/>
  <c r="Y84" i="42"/>
  <c r="Y85" i="42" s="1"/>
  <c r="Y81" i="42"/>
  <c r="Y82" i="42" s="1"/>
  <c r="Y78" i="42"/>
  <c r="Y79" i="42" s="1"/>
  <c r="Q90" i="42"/>
  <c r="Q91" i="42" s="1"/>
  <c r="Q87" i="42"/>
  <c r="Q84" i="42"/>
  <c r="Q85" i="42" s="1"/>
  <c r="Q81" i="42"/>
  <c r="Q82" i="42" s="1"/>
  <c r="Q78" i="42"/>
  <c r="Q79" i="42" s="1"/>
  <c r="L91" i="42"/>
  <c r="L90" i="42"/>
  <c r="L89" i="42"/>
  <c r="L88" i="42"/>
  <c r="L87" i="42"/>
  <c r="L86" i="42"/>
  <c r="L82" i="42"/>
  <c r="L81" i="42"/>
  <c r="L80" i="42"/>
  <c r="L79" i="42"/>
  <c r="L78" i="42"/>
  <c r="L77" i="42"/>
  <c r="D91" i="42"/>
  <c r="P91" i="42" s="1"/>
  <c r="D90" i="42"/>
  <c r="P90" i="42" s="1"/>
  <c r="D89" i="42"/>
  <c r="P89" i="42" s="1"/>
  <c r="D88" i="42"/>
  <c r="P88" i="42" s="1"/>
  <c r="D87" i="42"/>
  <c r="P87" i="42" s="1"/>
  <c r="D86" i="42"/>
  <c r="P86" i="42" s="1"/>
  <c r="D85" i="42"/>
  <c r="P85" i="42" s="1"/>
  <c r="D84" i="42"/>
  <c r="P84" i="42" s="1"/>
  <c r="D83" i="42"/>
  <c r="P83" i="42" s="1"/>
  <c r="D82" i="42"/>
  <c r="P82" i="42" s="1"/>
  <c r="D81" i="42"/>
  <c r="P81" i="42" s="1"/>
  <c r="D80" i="42"/>
  <c r="P80" i="42" s="1"/>
  <c r="G57" i="34" l="1"/>
  <c r="S81" i="42"/>
  <c r="W81" i="42"/>
  <c r="Z81" i="42" s="1"/>
  <c r="AB81" i="42" s="1"/>
  <c r="S85" i="42"/>
  <c r="W85" i="42"/>
  <c r="Z85" i="42" s="1"/>
  <c r="AB85" i="42" s="1"/>
  <c r="S89" i="42"/>
  <c r="W89" i="42"/>
  <c r="Z89" i="42" s="1"/>
  <c r="AB89" i="42" s="1"/>
  <c r="S90" i="42"/>
  <c r="W90" i="42"/>
  <c r="Z90" i="42" s="1"/>
  <c r="AB90" i="42" s="1"/>
  <c r="W83" i="42"/>
  <c r="Z83" i="42" s="1"/>
  <c r="AB83" i="42" s="1"/>
  <c r="S83" i="42"/>
  <c r="W87" i="42"/>
  <c r="Z87" i="42" s="1"/>
  <c r="AB87" i="42" s="1"/>
  <c r="S87" i="42"/>
  <c r="W91" i="42"/>
  <c r="Z91" i="42" s="1"/>
  <c r="AB91" i="42" s="1"/>
  <c r="S91" i="42"/>
  <c r="S82" i="42"/>
  <c r="W82" i="42"/>
  <c r="Z82" i="42" s="1"/>
  <c r="AB82" i="42" s="1"/>
  <c r="S80" i="42"/>
  <c r="W80" i="42"/>
  <c r="Z80" i="42" s="1"/>
  <c r="AB80" i="42" s="1"/>
  <c r="W84" i="42"/>
  <c r="Z84" i="42" s="1"/>
  <c r="AB84" i="42" s="1"/>
  <c r="S84" i="42"/>
  <c r="W88" i="42"/>
  <c r="Z88" i="42" s="1"/>
  <c r="AB88" i="42" s="1"/>
  <c r="S88" i="42"/>
  <c r="Q88" i="42"/>
  <c r="W86" i="42"/>
  <c r="Z86" i="42" s="1"/>
  <c r="AB86" i="42" s="1"/>
  <c r="S86" i="42"/>
  <c r="H150" i="12"/>
  <c r="H151" i="12"/>
  <c r="AB34" i="42"/>
  <c r="D58" i="34" l="1"/>
  <c r="F58" i="34"/>
  <c r="F56" i="34"/>
  <c r="E56" i="34"/>
  <c r="D56" i="34"/>
  <c r="F55" i="34"/>
  <c r="E55" i="34"/>
  <c r="D55" i="34"/>
  <c r="F54" i="34"/>
  <c r="F52" i="34"/>
  <c r="E28" i="61" l="1"/>
  <c r="G28" i="61" s="1"/>
  <c r="B28" i="34" l="1"/>
  <c r="B31" i="34" s="1"/>
  <c r="B24" i="34"/>
  <c r="B27" i="34" s="1"/>
  <c r="B30" i="34" s="1"/>
  <c r="B33" i="34" s="1"/>
  <c r="B36" i="34" s="1"/>
  <c r="B39" i="34" s="1"/>
  <c r="E30" i="61" l="1"/>
  <c r="E29" i="61"/>
  <c r="G29" i="61" s="1"/>
  <c r="H28" i="61"/>
  <c r="H29" i="58"/>
  <c r="H30" i="61" l="1"/>
  <c r="G30" i="61"/>
  <c r="H29" i="61"/>
  <c r="H173" i="12" l="1"/>
  <c r="D173" i="12"/>
  <c r="F51" i="34" l="1"/>
  <c r="F19" i="34"/>
  <c r="I162" i="12" l="1"/>
  <c r="F13" i="34" l="1"/>
  <c r="F16" i="34"/>
  <c r="J94" i="61"/>
  <c r="D94" i="61"/>
  <c r="J93" i="61"/>
  <c r="D93" i="61"/>
  <c r="J92" i="61"/>
  <c r="D92" i="61"/>
  <c r="J91" i="61"/>
  <c r="D91" i="61"/>
  <c r="J90" i="61"/>
  <c r="D90" i="61"/>
  <c r="J51" i="72" l="1"/>
  <c r="G21" i="72"/>
  <c r="F7" i="72"/>
  <c r="M7" i="72"/>
  <c r="E49" i="34"/>
  <c r="D49" i="34"/>
  <c r="G33" i="72" l="1"/>
  <c r="G27" i="72"/>
  <c r="G39" i="72" l="1"/>
  <c r="H105" i="43"/>
  <c r="G45" i="72" l="1"/>
  <c r="S76" i="58"/>
  <c r="U75" i="58"/>
  <c r="U74" i="58"/>
  <c r="U73" i="58"/>
  <c r="N50" i="58"/>
  <c r="N51" i="58"/>
  <c r="N49" i="58"/>
  <c r="G55" i="72" l="1"/>
  <c r="U76" i="58"/>
  <c r="U77" i="58" s="1"/>
  <c r="L76" i="58"/>
  <c r="N75" i="58"/>
  <c r="N74" i="58"/>
  <c r="N73" i="58"/>
  <c r="S68" i="58"/>
  <c r="U67" i="58"/>
  <c r="U66" i="58"/>
  <c r="U65" i="58"/>
  <c r="U68" i="58" s="1"/>
  <c r="S60" i="58"/>
  <c r="U59" i="58"/>
  <c r="U58" i="58"/>
  <c r="U57" i="58"/>
  <c r="S52" i="58"/>
  <c r="U51" i="58"/>
  <c r="U50" i="58"/>
  <c r="U49" i="58"/>
  <c r="U52" i="58" s="1"/>
  <c r="K31" i="41" l="1"/>
  <c r="K31" i="43"/>
  <c r="K24" i="74"/>
  <c r="G65" i="72"/>
  <c r="U69" i="58"/>
  <c r="U60" i="58"/>
  <c r="U61" i="58" s="1"/>
  <c r="N76" i="58"/>
  <c r="N77" i="58" s="1"/>
  <c r="U53" i="58"/>
  <c r="L68" i="58"/>
  <c r="N67" i="58"/>
  <c r="N66" i="58"/>
  <c r="N65" i="58"/>
  <c r="L60" i="58"/>
  <c r="N59" i="58"/>
  <c r="N58" i="58"/>
  <c r="N57" i="58"/>
  <c r="L52" i="58"/>
  <c r="F94" i="11" l="1"/>
  <c r="F87" i="11"/>
  <c r="D31" i="41"/>
  <c r="D31" i="43"/>
  <c r="F24" i="74"/>
  <c r="C31" i="41"/>
  <c r="C31" i="43"/>
  <c r="D24" i="74"/>
  <c r="G31" i="43"/>
  <c r="H24" i="74"/>
  <c r="G31" i="41"/>
  <c r="G75" i="72"/>
  <c r="H112" i="11"/>
  <c r="N68" i="58"/>
  <c r="N69" i="58" s="1"/>
  <c r="F53" i="11" s="1"/>
  <c r="N60" i="58"/>
  <c r="N61" i="58" s="1"/>
  <c r="F30" i="11" s="1"/>
  <c r="N52" i="58"/>
  <c r="N53" i="58" s="1"/>
  <c r="G110" i="12"/>
  <c r="H110" i="12"/>
  <c r="G109" i="12"/>
  <c r="H109" i="12"/>
  <c r="G108" i="12"/>
  <c r="H108" i="12"/>
  <c r="F45" i="11" l="1"/>
  <c r="J24" i="74"/>
  <c r="F77" i="11"/>
  <c r="I31" i="41"/>
  <c r="F60" i="11"/>
  <c r="I31" i="43"/>
  <c r="G85" i="72"/>
  <c r="AR55" i="42"/>
  <c r="AR54" i="42"/>
  <c r="AR53" i="42"/>
  <c r="G95" i="72" l="1"/>
  <c r="H33" i="58"/>
  <c r="H31" i="58"/>
  <c r="H39" i="58" s="1"/>
  <c r="L16" i="41" s="1"/>
  <c r="G105" i="72" l="1"/>
  <c r="B122" i="11"/>
  <c r="C25" i="12"/>
  <c r="C24" i="12"/>
  <c r="C23" i="12"/>
  <c r="AR44" i="42"/>
  <c r="E32" i="58" s="1"/>
  <c r="D28" i="34" l="1"/>
  <c r="D31" i="34" s="1"/>
  <c r="D34" i="34" s="1"/>
  <c r="D37" i="34" s="1"/>
  <c r="D40" i="34" s="1"/>
  <c r="G115" i="72"/>
  <c r="AZ7" i="42"/>
  <c r="G125" i="72" l="1"/>
  <c r="A42" i="42"/>
  <c r="A43" i="42" s="1"/>
  <c r="A44" i="42" s="1"/>
  <c r="A45" i="42" s="1"/>
  <c r="A50" i="42"/>
  <c r="A51" i="42" s="1"/>
  <c r="A52" i="42" s="1"/>
  <c r="A53" i="42" s="1"/>
  <c r="J89" i="42"/>
  <c r="J86" i="42"/>
  <c r="J83" i="42"/>
  <c r="J80" i="42"/>
  <c r="J79" i="42"/>
  <c r="J78" i="42"/>
  <c r="J77" i="42"/>
  <c r="D79" i="42"/>
  <c r="P79" i="42" s="1"/>
  <c r="D78" i="42"/>
  <c r="P78" i="42" s="1"/>
  <c r="D77" i="42"/>
  <c r="P77" i="42" s="1"/>
  <c r="J50" i="42"/>
  <c r="J51" i="42"/>
  <c r="J52" i="42"/>
  <c r="J53" i="42"/>
  <c r="J49" i="42"/>
  <c r="I50" i="42"/>
  <c r="I51" i="42"/>
  <c r="I52" i="42"/>
  <c r="I53" i="42"/>
  <c r="I49" i="42"/>
  <c r="H50" i="42"/>
  <c r="H51" i="42"/>
  <c r="H49" i="42"/>
  <c r="G50" i="42"/>
  <c r="G51" i="42"/>
  <c r="G52" i="42"/>
  <c r="G53" i="42"/>
  <c r="G49" i="42"/>
  <c r="F50" i="42"/>
  <c r="F51" i="42"/>
  <c r="F52" i="42"/>
  <c r="F53" i="42"/>
  <c r="F49" i="42"/>
  <c r="E50" i="42"/>
  <c r="E51" i="42"/>
  <c r="E52" i="42"/>
  <c r="E53" i="42"/>
  <c r="E49" i="42"/>
  <c r="E71" i="42"/>
  <c r="E72" i="42"/>
  <c r="E70" i="42"/>
  <c r="E68" i="42"/>
  <c r="E69" i="42"/>
  <c r="E67" i="42"/>
  <c r="E65" i="42"/>
  <c r="E66" i="42"/>
  <c r="E64" i="42"/>
  <c r="P60" i="42"/>
  <c r="N60" i="42"/>
  <c r="O60" i="42" s="1"/>
  <c r="H60" i="42"/>
  <c r="R59" i="42"/>
  <c r="R60" i="42" s="1"/>
  <c r="N59" i="42"/>
  <c r="Q59" i="42" s="1"/>
  <c r="J59" i="42"/>
  <c r="J60" i="42" s="1"/>
  <c r="H59" i="42"/>
  <c r="N58" i="42"/>
  <c r="O58" i="42" s="1"/>
  <c r="H58" i="42"/>
  <c r="E59" i="42"/>
  <c r="E60" i="42"/>
  <c r="E62" i="42"/>
  <c r="E63" i="42"/>
  <c r="E61" i="42"/>
  <c r="E58" i="42"/>
  <c r="W79" i="42" l="1"/>
  <c r="Z79" i="42" s="1"/>
  <c r="AB79" i="42" s="1"/>
  <c r="S79" i="42"/>
  <c r="R79" i="42"/>
  <c r="V79" i="42" s="1"/>
  <c r="R78" i="42"/>
  <c r="W78" i="42"/>
  <c r="Z78" i="42" s="1"/>
  <c r="AB78" i="42" s="1"/>
  <c r="S78" i="42"/>
  <c r="S77" i="42"/>
  <c r="R77" i="42"/>
  <c r="W77" i="42"/>
  <c r="Z77" i="42" s="1"/>
  <c r="AB77" i="42" s="1"/>
  <c r="G135" i="72"/>
  <c r="G145" i="72"/>
  <c r="I60" i="42"/>
  <c r="K60" i="42" s="1"/>
  <c r="I58" i="42"/>
  <c r="K58" i="42" s="1"/>
  <c r="S59" i="42"/>
  <c r="Q58" i="42"/>
  <c r="S58" i="42" s="1"/>
  <c r="I59" i="42"/>
  <c r="K59" i="42" s="1"/>
  <c r="O59" i="42"/>
  <c r="Q60" i="42"/>
  <c r="S60" i="42" s="1"/>
  <c r="J110" i="61"/>
  <c r="K110" i="61" s="1"/>
  <c r="J111" i="61"/>
  <c r="K111" i="61" s="1"/>
  <c r="J112" i="61"/>
  <c r="K112" i="61" s="1"/>
  <c r="J113" i="61"/>
  <c r="K113" i="61" s="1"/>
  <c r="J114" i="61"/>
  <c r="K114" i="61" s="1"/>
  <c r="J115" i="61"/>
  <c r="K115" i="61"/>
  <c r="J116" i="61"/>
  <c r="K116" i="61" s="1"/>
  <c r="J117" i="61"/>
  <c r="K117" i="61" s="1"/>
  <c r="J118" i="61"/>
  <c r="K118" i="61" s="1"/>
  <c r="J107" i="61"/>
  <c r="K107" i="61" s="1"/>
  <c r="J108" i="61"/>
  <c r="K108" i="61" s="1"/>
  <c r="J109" i="61"/>
  <c r="V77" i="42" l="1"/>
  <c r="V78" i="42"/>
  <c r="T58" i="42"/>
  <c r="E23" i="42" s="1"/>
  <c r="T60" i="42"/>
  <c r="T59" i="42"/>
  <c r="K109" i="61"/>
  <c r="AU5" i="42"/>
  <c r="I113" i="12" s="1"/>
  <c r="I37" i="12"/>
  <c r="I36" i="12"/>
  <c r="J36" i="12" s="1"/>
  <c r="H36" i="12"/>
  <c r="H37" i="12"/>
  <c r="G36" i="12"/>
  <c r="B33" i="58" l="1"/>
  <c r="F15" i="34" l="1"/>
  <c r="I131" i="12"/>
  <c r="I48" i="12"/>
  <c r="I49" i="12"/>
  <c r="I50" i="12"/>
  <c r="I51" i="12"/>
  <c r="I52" i="12"/>
  <c r="I53" i="12"/>
  <c r="I54" i="12"/>
  <c r="I55" i="12"/>
  <c r="I56" i="12"/>
  <c r="AW17" i="42"/>
  <c r="AW16" i="42"/>
  <c r="AW15" i="42"/>
  <c r="AW14" i="42"/>
  <c r="AW13" i="42"/>
  <c r="I128" i="12" s="1"/>
  <c r="AW12" i="42"/>
  <c r="AW11" i="42"/>
  <c r="I111" i="12"/>
  <c r="I112" i="12"/>
  <c r="I125" i="12"/>
  <c r="I124" i="12"/>
  <c r="I123" i="12"/>
  <c r="I121" i="12"/>
  <c r="I38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108" i="12"/>
  <c r="N109" i="12"/>
  <c r="N110" i="12"/>
  <c r="I107" i="12"/>
  <c r="I108" i="12"/>
  <c r="J108" i="12" s="1"/>
  <c r="I109" i="12"/>
  <c r="J109" i="12" s="1"/>
  <c r="I110" i="12"/>
  <c r="J110" i="12" s="1"/>
  <c r="I106" i="12"/>
  <c r="D107" i="12"/>
  <c r="D108" i="12"/>
  <c r="D109" i="12"/>
  <c r="D110" i="12"/>
  <c r="D106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79" i="12"/>
  <c r="I80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D67" i="12"/>
  <c r="D68" i="12"/>
  <c r="D69" i="12"/>
  <c r="D70" i="12"/>
  <c r="D71" i="12"/>
  <c r="D72" i="12"/>
  <c r="D73" i="12"/>
  <c r="D74" i="12"/>
  <c r="D75" i="12"/>
  <c r="D76" i="12"/>
  <c r="D77" i="12"/>
  <c r="D52" i="34" s="1"/>
  <c r="D78" i="12"/>
  <c r="D79" i="12"/>
  <c r="D80" i="12"/>
  <c r="I65" i="12"/>
  <c r="D48" i="12"/>
  <c r="D49" i="12"/>
  <c r="D50" i="12"/>
  <c r="D51" i="12"/>
  <c r="D52" i="12"/>
  <c r="D53" i="12"/>
  <c r="D54" i="12"/>
  <c r="D51" i="34" s="1"/>
  <c r="D55" i="12"/>
  <c r="D56" i="12"/>
  <c r="D65" i="12"/>
  <c r="I81" i="12" l="1"/>
  <c r="D81" i="12"/>
  <c r="G68" i="12"/>
  <c r="H68" i="12"/>
  <c r="G69" i="12"/>
  <c r="H69" i="12"/>
  <c r="G70" i="12"/>
  <c r="H70" i="12"/>
  <c r="G71" i="12"/>
  <c r="H71" i="12"/>
  <c r="G72" i="12"/>
  <c r="H72" i="12"/>
  <c r="G73" i="12"/>
  <c r="H73" i="12"/>
  <c r="G74" i="12"/>
  <c r="H74" i="12"/>
  <c r="G75" i="12"/>
  <c r="H75" i="12"/>
  <c r="G76" i="12"/>
  <c r="H76" i="12"/>
  <c r="G77" i="12"/>
  <c r="H77" i="12"/>
  <c r="G78" i="12"/>
  <c r="H78" i="12"/>
  <c r="G79" i="12"/>
  <c r="H79" i="12"/>
  <c r="G80" i="12"/>
  <c r="H80" i="12"/>
  <c r="I66" i="12"/>
  <c r="D66" i="12"/>
  <c r="N54" i="12"/>
  <c r="N55" i="12"/>
  <c r="N56" i="12"/>
  <c r="N64" i="12"/>
  <c r="N65" i="12"/>
  <c r="N48" i="12"/>
  <c r="N49" i="12"/>
  <c r="N50" i="12"/>
  <c r="N51" i="12"/>
  <c r="N52" i="12"/>
  <c r="N53" i="12"/>
  <c r="G48" i="12"/>
  <c r="H48" i="12"/>
  <c r="G49" i="12"/>
  <c r="H49" i="12"/>
  <c r="J49" i="12"/>
  <c r="G50" i="12"/>
  <c r="H50" i="12"/>
  <c r="J50" i="12"/>
  <c r="G51" i="12"/>
  <c r="H51" i="12"/>
  <c r="J51" i="12"/>
  <c r="G52" i="12"/>
  <c r="H52" i="12"/>
  <c r="J52" i="12"/>
  <c r="G53" i="12"/>
  <c r="H53" i="12"/>
  <c r="J53" i="12"/>
  <c r="G54" i="12"/>
  <c r="H54" i="12"/>
  <c r="J54" i="12"/>
  <c r="G55" i="12"/>
  <c r="H55" i="12"/>
  <c r="J55" i="12"/>
  <c r="G56" i="12"/>
  <c r="H56" i="12"/>
  <c r="J56" i="12"/>
  <c r="G64" i="12"/>
  <c r="H64" i="12"/>
  <c r="J64" i="12"/>
  <c r="G65" i="12"/>
  <c r="H65" i="12"/>
  <c r="J65" i="12"/>
  <c r="AJ33" i="42"/>
  <c r="AJ34" i="42" s="1"/>
  <c r="AJ35" i="42" s="1"/>
  <c r="AJ36" i="42" s="1"/>
  <c r="AJ37" i="42" s="1"/>
  <c r="AJ38" i="42" s="1"/>
  <c r="AJ39" i="42" s="1"/>
  <c r="AJ40" i="42" s="1"/>
  <c r="AJ41" i="42" s="1"/>
  <c r="AJ42" i="42" s="1"/>
  <c r="AJ43" i="42" s="1"/>
  <c r="AJ44" i="42" s="1"/>
  <c r="AJ45" i="42" s="1"/>
  <c r="AJ46" i="42" s="1"/>
  <c r="AJ47" i="42" s="1"/>
  <c r="AJ48" i="42" s="1"/>
  <c r="AJ49" i="42" s="1"/>
  <c r="AJ50" i="42" s="1"/>
  <c r="AJ51" i="42" s="1"/>
  <c r="AJ52" i="42" s="1"/>
  <c r="AJ53" i="42" s="1"/>
  <c r="AJ54" i="42" s="1"/>
  <c r="AJ55" i="42" s="1"/>
  <c r="AJ56" i="42" s="1"/>
  <c r="AJ62" i="42" s="1"/>
  <c r="AJ63" i="42" s="1"/>
  <c r="AJ64" i="42" s="1"/>
  <c r="AJ65" i="42" s="1"/>
  <c r="AJ66" i="42" s="1"/>
  <c r="AJ67" i="42" s="1"/>
  <c r="AJ68" i="42" s="1"/>
  <c r="AJ69" i="42" s="1"/>
  <c r="AJ70" i="42" s="1"/>
  <c r="AJ71" i="42" s="1"/>
  <c r="AJ5" i="42"/>
  <c r="AJ6" i="42" s="1"/>
  <c r="AJ7" i="42" s="1"/>
  <c r="AJ8" i="42" s="1"/>
  <c r="AJ9" i="42" s="1"/>
  <c r="AJ10" i="42" s="1"/>
  <c r="AJ11" i="42" s="1"/>
  <c r="AJ12" i="42" s="1"/>
  <c r="AJ13" i="42" s="1"/>
  <c r="AJ14" i="42" s="1"/>
  <c r="AJ15" i="42" s="1"/>
  <c r="AJ16" i="42" s="1"/>
  <c r="AJ17" i="42" s="1"/>
  <c r="AJ18" i="42" s="1"/>
  <c r="AJ19" i="42" s="1"/>
  <c r="AJ20" i="42" s="1"/>
  <c r="AJ21" i="42" s="1"/>
  <c r="AJ22" i="42" s="1"/>
  <c r="AJ23" i="42" s="1"/>
  <c r="AJ24" i="42" s="1"/>
  <c r="AJ25" i="42" s="1"/>
  <c r="AJ26" i="42" s="1"/>
  <c r="AJ27" i="42" s="1"/>
  <c r="AJ28" i="42" s="1"/>
  <c r="AJ29" i="42" s="1"/>
  <c r="AJ30" i="42" s="1"/>
  <c r="BF11" i="42"/>
  <c r="AJ57" i="42" l="1"/>
  <c r="AJ58" i="42" s="1"/>
  <c r="AJ59" i="42" s="1"/>
  <c r="AJ60" i="42" s="1"/>
  <c r="AJ61" i="42" s="1"/>
  <c r="J29" i="61" l="1"/>
  <c r="H159" i="12"/>
  <c r="B40" i="58"/>
  <c r="B43" i="58" l="1"/>
  <c r="B44" i="58" s="1"/>
  <c r="B45" i="58" s="1"/>
  <c r="B46" i="58" s="1"/>
  <c r="B47" i="58" s="1"/>
  <c r="B48" i="58" s="1"/>
  <c r="B49" i="58" s="1"/>
  <c r="B50" i="58" s="1"/>
  <c r="B51" i="58" s="1"/>
  <c r="B52" i="58" s="1"/>
  <c r="B53" i="58" s="1"/>
  <c r="B54" i="58" s="1"/>
  <c r="B55" i="58" s="1"/>
  <c r="B56" i="58" s="1"/>
  <c r="B57" i="58" s="1"/>
  <c r="B58" i="58" s="1"/>
  <c r="B59" i="58" s="1"/>
  <c r="B60" i="58" s="1"/>
  <c r="B41" i="58"/>
  <c r="B42" i="58" s="1"/>
  <c r="H160" i="12"/>
  <c r="F20" i="74" l="1"/>
  <c r="B21" i="74" l="1"/>
  <c r="H17" i="11" l="1"/>
  <c r="M43" i="11" s="1"/>
  <c r="F17" i="11"/>
  <c r="BF14" i="42" l="1"/>
  <c r="BF15" i="42"/>
  <c r="BF16" i="42"/>
  <c r="BF17" i="42"/>
  <c r="BF13" i="42"/>
  <c r="C18" i="73" s="1"/>
  <c r="C32" i="12" l="1"/>
  <c r="C30" i="12"/>
  <c r="C31" i="12" l="1"/>
  <c r="K25" i="11"/>
  <c r="H25" i="11"/>
  <c r="F25" i="11"/>
  <c r="B25" i="11"/>
  <c r="G36" i="74"/>
  <c r="M36" i="74" s="1"/>
  <c r="G85" i="12"/>
  <c r="H85" i="12"/>
  <c r="G86" i="12"/>
  <c r="H86" i="12"/>
  <c r="G87" i="12"/>
  <c r="H87" i="12"/>
  <c r="G88" i="12"/>
  <c r="H88" i="12"/>
  <c r="G89" i="12"/>
  <c r="H89" i="12"/>
  <c r="G45" i="64"/>
  <c r="F17" i="64"/>
  <c r="F16" i="64"/>
  <c r="E16" i="64"/>
  <c r="E8" i="64"/>
  <c r="E6" i="64"/>
  <c r="U11" i="64"/>
  <c r="S4" i="64"/>
  <c r="P4" i="64"/>
  <c r="U6" i="64" s="1"/>
  <c r="N4" i="64"/>
  <c r="E7" i="75"/>
  <c r="AK14" i="75"/>
  <c r="AK13" i="75"/>
  <c r="AK12" i="75"/>
  <c r="AK11" i="75"/>
  <c r="AK10" i="75"/>
  <c r="AJ14" i="75"/>
  <c r="AJ13" i="75"/>
  <c r="AJ12" i="75"/>
  <c r="AJ11" i="75"/>
  <c r="AJ10" i="75"/>
  <c r="AI11" i="75"/>
  <c r="AI12" i="75"/>
  <c r="AI13" i="75"/>
  <c r="AI14" i="75"/>
  <c r="AI10" i="75"/>
  <c r="O23" i="75"/>
  <c r="C23" i="75"/>
  <c r="B23" i="75"/>
  <c r="C164" i="12"/>
  <c r="B136" i="43" s="1"/>
  <c r="C165" i="12"/>
  <c r="B146" i="43" s="1"/>
  <c r="C163" i="12"/>
  <c r="B126" i="43" s="1"/>
  <c r="O22" i="75"/>
  <c r="C22" i="75"/>
  <c r="B22" i="75"/>
  <c r="O21" i="75"/>
  <c r="C21" i="75"/>
  <c r="B21" i="75"/>
  <c r="E16" i="75"/>
  <c r="J16" i="75" s="1"/>
  <c r="N16" i="75"/>
  <c r="S16" i="75"/>
  <c r="E17" i="75"/>
  <c r="J17" i="75" s="1"/>
  <c r="N17" i="75"/>
  <c r="R17" i="75"/>
  <c r="E18" i="75"/>
  <c r="K18" i="75" s="1"/>
  <c r="N18" i="75"/>
  <c r="E15" i="75"/>
  <c r="E23" i="75" s="1"/>
  <c r="N15" i="75"/>
  <c r="N23" i="75" s="1"/>
  <c r="R15" i="75"/>
  <c r="R23" i="75" s="1"/>
  <c r="AE18" i="75"/>
  <c r="AD19" i="75"/>
  <c r="F15" i="75" s="1"/>
  <c r="F23" i="75" s="1"/>
  <c r="AD20" i="75"/>
  <c r="F16" i="75" s="1"/>
  <c r="AD21" i="75"/>
  <c r="F17" i="75" s="1"/>
  <c r="AD22" i="75"/>
  <c r="F18" i="75" s="1"/>
  <c r="AD18" i="75"/>
  <c r="AC19" i="75"/>
  <c r="AC20" i="75"/>
  <c r="AC21" i="75"/>
  <c r="AC22" i="75"/>
  <c r="AC18" i="75"/>
  <c r="E12" i="75"/>
  <c r="J12" i="75" s="1"/>
  <c r="N12" i="75"/>
  <c r="E13" i="75"/>
  <c r="K13" i="75" s="1"/>
  <c r="N13" i="75"/>
  <c r="E14" i="75"/>
  <c r="K14" i="75" s="1"/>
  <c r="N14" i="75"/>
  <c r="E9" i="75"/>
  <c r="J9" i="75" s="1"/>
  <c r="N9" i="75"/>
  <c r="E10" i="75"/>
  <c r="J10" i="75" s="1"/>
  <c r="N10" i="75"/>
  <c r="N11" i="75"/>
  <c r="N22" i="75" s="1"/>
  <c r="AK18" i="75"/>
  <c r="AJ19" i="75"/>
  <c r="F11" i="75" s="1"/>
  <c r="AJ20" i="75"/>
  <c r="F12" i="75"/>
  <c r="AJ21" i="75"/>
  <c r="F13" i="75"/>
  <c r="AJ22" i="75"/>
  <c r="F14" i="75"/>
  <c r="AJ18" i="75"/>
  <c r="AI19" i="75"/>
  <c r="AI20" i="75"/>
  <c r="AI21" i="75"/>
  <c r="AI22" i="75"/>
  <c r="AI18" i="75"/>
  <c r="E11" i="75"/>
  <c r="E22" i="75" s="1"/>
  <c r="S7" i="75"/>
  <c r="AD71" i="75"/>
  <c r="AF71" i="75"/>
  <c r="AE71" i="75" s="1"/>
  <c r="AI71" i="75"/>
  <c r="AD74" i="75"/>
  <c r="AE74" i="75" s="1"/>
  <c r="AJ74" i="75"/>
  <c r="AD75" i="75"/>
  <c r="AE75" i="75" s="1"/>
  <c r="AE81" i="75" s="1"/>
  <c r="AJ75" i="75"/>
  <c r="AD76" i="75"/>
  <c r="AE76" i="75" s="1"/>
  <c r="AJ76" i="75"/>
  <c r="AD77" i="75"/>
  <c r="AE77" i="75" s="1"/>
  <c r="E8" i="75"/>
  <c r="J8" i="75" s="1"/>
  <c r="N8" i="75"/>
  <c r="AE10" i="75"/>
  <c r="AD11" i="75"/>
  <c r="F7" i="75" s="1"/>
  <c r="AD12" i="75"/>
  <c r="F8" i="75" s="1"/>
  <c r="AD13" i="75"/>
  <c r="F9" i="75" s="1"/>
  <c r="AD14" i="75"/>
  <c r="F10" i="75" s="1"/>
  <c r="AD10" i="75"/>
  <c r="AC11" i="75"/>
  <c r="AC12" i="75"/>
  <c r="AC13" i="75"/>
  <c r="AC14" i="75"/>
  <c r="AC10" i="75"/>
  <c r="N7" i="75"/>
  <c r="N21" i="75" s="1"/>
  <c r="AK7" i="75"/>
  <c r="AE22" i="75" s="1"/>
  <c r="AJ7" i="75"/>
  <c r="AE14" i="75"/>
  <c r="AK6" i="75"/>
  <c r="AE21" i="75" s="1"/>
  <c r="AJ6" i="75"/>
  <c r="AE13" i="75"/>
  <c r="AK5" i="75"/>
  <c r="AE20" i="75" s="1"/>
  <c r="AJ5" i="75"/>
  <c r="AE12" i="75"/>
  <c r="AK4" i="75"/>
  <c r="AE19" i="75" s="1"/>
  <c r="AJ4" i="75"/>
  <c r="AE11" i="75"/>
  <c r="L2" i="75"/>
  <c r="A2" i="75"/>
  <c r="H68" i="61"/>
  <c r="H69" i="61"/>
  <c r="H70" i="61"/>
  <c r="H71" i="61"/>
  <c r="H72" i="61"/>
  <c r="H67" i="61"/>
  <c r="G84" i="12"/>
  <c r="H84" i="12"/>
  <c r="G83" i="12"/>
  <c r="H83" i="12"/>
  <c r="H44" i="12"/>
  <c r="H43" i="12"/>
  <c r="D67" i="61"/>
  <c r="D5" i="33" s="1"/>
  <c r="L13" i="41"/>
  <c r="L13" i="43" s="1"/>
  <c r="H23" i="41"/>
  <c r="G57" i="41" s="1"/>
  <c r="H27" i="43"/>
  <c r="F15" i="74"/>
  <c r="B31" i="74" s="1"/>
  <c r="H15" i="74"/>
  <c r="K15" i="74"/>
  <c r="B31" i="58"/>
  <c r="B15" i="74" s="1"/>
  <c r="B16" i="74" s="1"/>
  <c r="B17" i="74" s="1"/>
  <c r="B18" i="74" s="1"/>
  <c r="B19" i="74" s="1"/>
  <c r="B11" i="58"/>
  <c r="B17" i="11" s="1"/>
  <c r="I78" i="74"/>
  <c r="BF31" i="42"/>
  <c r="I56" i="74"/>
  <c r="I77" i="74" s="1"/>
  <c r="I55" i="74"/>
  <c r="I76" i="74" s="1"/>
  <c r="I50" i="74"/>
  <c r="G33" i="74"/>
  <c r="M33" i="74" s="1"/>
  <c r="F14" i="74"/>
  <c r="F13" i="74"/>
  <c r="K21" i="74"/>
  <c r="K16" i="74"/>
  <c r="K13" i="74"/>
  <c r="K12" i="74"/>
  <c r="K11" i="74"/>
  <c r="H21" i="74"/>
  <c r="H20" i="74"/>
  <c r="I68" i="74" s="1"/>
  <c r="H19" i="74"/>
  <c r="H18" i="74"/>
  <c r="H17" i="74"/>
  <c r="H16" i="74"/>
  <c r="D7" i="74"/>
  <c r="B73" i="74"/>
  <c r="B72" i="74"/>
  <c r="B67" i="74"/>
  <c r="B66" i="74"/>
  <c r="M37" i="74"/>
  <c r="B8" i="74"/>
  <c r="BH6" i="42"/>
  <c r="BE8" i="42"/>
  <c r="AZ8" i="42"/>
  <c r="B64" i="74"/>
  <c r="BF24" i="42"/>
  <c r="BG24" i="42" s="1"/>
  <c r="BF23" i="42"/>
  <c r="BG23" i="42" s="1"/>
  <c r="BF22" i="42"/>
  <c r="BF21" i="42"/>
  <c r="BG21" i="42" s="1"/>
  <c r="BF20" i="42"/>
  <c r="BG20" i="42" s="1"/>
  <c r="BC38" i="42"/>
  <c r="AZ38" i="42"/>
  <c r="I23" i="73"/>
  <c r="J23" i="73" s="1"/>
  <c r="F29" i="73" s="1"/>
  <c r="F13" i="73"/>
  <c r="E12" i="73"/>
  <c r="J12" i="73" s="1"/>
  <c r="E11" i="73"/>
  <c r="J11" i="73" s="1"/>
  <c r="G11" i="73"/>
  <c r="I11" i="73" s="1"/>
  <c r="E10" i="73"/>
  <c r="J10" i="73" s="1"/>
  <c r="E9" i="73"/>
  <c r="J9" i="73" s="1"/>
  <c r="E8" i="73"/>
  <c r="E7" i="73"/>
  <c r="F30" i="73" s="1"/>
  <c r="L2" i="15"/>
  <c r="N2" i="15" s="1"/>
  <c r="P2" i="15" s="1"/>
  <c r="R2" i="15" s="1"/>
  <c r="T2" i="15" s="1"/>
  <c r="V2" i="15" s="1"/>
  <c r="X2" i="15" s="1"/>
  <c r="Z2" i="15" s="1"/>
  <c r="AB2" i="15" s="1"/>
  <c r="AD2" i="15" s="1"/>
  <c r="AF2" i="15" s="1"/>
  <c r="AH2" i="15" s="1"/>
  <c r="AJ2" i="15" s="1"/>
  <c r="AL2" i="15" s="1"/>
  <c r="AN2" i="15" s="1"/>
  <c r="AP2" i="15" s="1"/>
  <c r="AR2" i="15" s="1"/>
  <c r="AT2" i="15" s="1"/>
  <c r="AV2" i="15" s="1"/>
  <c r="AX2" i="15" s="1"/>
  <c r="AZ2" i="15" s="1"/>
  <c r="BB2" i="15" s="1"/>
  <c r="Z4" i="14"/>
  <c r="AA4" i="14" s="1"/>
  <c r="AB4" i="14" s="1"/>
  <c r="AC4" i="14" s="1"/>
  <c r="AD4" i="14" s="1"/>
  <c r="AE4" i="14" s="1"/>
  <c r="AF4" i="14" s="1"/>
  <c r="AG4" i="14" s="1"/>
  <c r="AH4" i="14" s="1"/>
  <c r="AI4" i="14" s="1"/>
  <c r="AJ4" i="14" s="1"/>
  <c r="AK4" i="14" s="1"/>
  <c r="AL4" i="14" s="1"/>
  <c r="AM4" i="14" s="1"/>
  <c r="AN4" i="14" s="1"/>
  <c r="AO4" i="14" s="1"/>
  <c r="AP4" i="14" s="1"/>
  <c r="AQ4" i="14" s="1"/>
  <c r="AR4" i="14" s="1"/>
  <c r="AS4" i="14" s="1"/>
  <c r="AT4" i="14" s="1"/>
  <c r="AU4" i="14" s="1"/>
  <c r="B4" i="14"/>
  <c r="C4" i="14" s="1"/>
  <c r="D4" i="14" s="1"/>
  <c r="E4" i="14" s="1"/>
  <c r="F4" i="14" s="1"/>
  <c r="G4" i="14" s="1"/>
  <c r="H4" i="14" s="1"/>
  <c r="I4" i="14" s="1"/>
  <c r="J4" i="14" s="1"/>
  <c r="K4" i="14" s="1"/>
  <c r="L4" i="14" s="1"/>
  <c r="B34" i="58"/>
  <c r="B35" i="58" s="1"/>
  <c r="P21" i="11" s="1"/>
  <c r="G168" i="72"/>
  <c r="D9" i="72"/>
  <c r="B23" i="72"/>
  <c r="B29" i="72" s="1"/>
  <c r="C42" i="34"/>
  <c r="B42" i="34"/>
  <c r="D68" i="61"/>
  <c r="D6" i="33" s="1"/>
  <c r="H15" i="41"/>
  <c r="H14" i="41"/>
  <c r="H12" i="74"/>
  <c r="H11" i="74"/>
  <c r="J106" i="61"/>
  <c r="K106" i="61" s="1"/>
  <c r="J105" i="61"/>
  <c r="K105" i="61" s="1"/>
  <c r="J104" i="61"/>
  <c r="H72" i="43"/>
  <c r="H86" i="43" s="1"/>
  <c r="H99" i="43" s="1"/>
  <c r="H110" i="43" s="1"/>
  <c r="H115" i="41"/>
  <c r="O20" i="42" s="1"/>
  <c r="K60" i="12"/>
  <c r="K117" i="12" s="1"/>
  <c r="H60" i="12"/>
  <c r="H117" i="12" s="1"/>
  <c r="E59" i="12"/>
  <c r="E116" i="12" s="1"/>
  <c r="A60" i="12"/>
  <c r="A117" i="12" s="1"/>
  <c r="A59" i="12"/>
  <c r="A116" i="12" s="1"/>
  <c r="F20" i="58"/>
  <c r="F19" i="58"/>
  <c r="F18" i="58"/>
  <c r="F17" i="58"/>
  <c r="F16" i="58"/>
  <c r="B17" i="58"/>
  <c r="B18" i="58" s="1"/>
  <c r="B19" i="58" s="1"/>
  <c r="B20" i="58" s="1"/>
  <c r="F14" i="58"/>
  <c r="F13" i="58"/>
  <c r="F12" i="58"/>
  <c r="F11" i="58"/>
  <c r="F10" i="58"/>
  <c r="J33" i="61"/>
  <c r="H28" i="41"/>
  <c r="H27" i="41"/>
  <c r="H26" i="41"/>
  <c r="H25" i="41"/>
  <c r="H24" i="41"/>
  <c r="B8" i="11"/>
  <c r="O16" i="42"/>
  <c r="H21" i="41"/>
  <c r="G55" i="41" s="1"/>
  <c r="H22" i="41"/>
  <c r="G56" i="41" s="1"/>
  <c r="H20" i="41"/>
  <c r="H19" i="41"/>
  <c r="H18" i="41"/>
  <c r="H17" i="41"/>
  <c r="H16" i="41"/>
  <c r="H16" i="43" s="1"/>
  <c r="L14" i="41"/>
  <c r="L14" i="43" s="1"/>
  <c r="J10" i="70"/>
  <c r="I9" i="70"/>
  <c r="I8" i="70"/>
  <c r="F9" i="70"/>
  <c r="F8" i="70"/>
  <c r="J20" i="70"/>
  <c r="L19" i="70"/>
  <c r="L18" i="70"/>
  <c r="L17" i="70"/>
  <c r="A2" i="70"/>
  <c r="AC54" i="42"/>
  <c r="AC53" i="42"/>
  <c r="AC52" i="42"/>
  <c r="I130" i="12" s="1"/>
  <c r="J130" i="12" s="1"/>
  <c r="AC51" i="42"/>
  <c r="AC50" i="42"/>
  <c r="AC49" i="4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93" i="12"/>
  <c r="J131" i="12"/>
  <c r="J125" i="12"/>
  <c r="J124" i="12"/>
  <c r="J123" i="12"/>
  <c r="J37" i="12"/>
  <c r="J121" i="12"/>
  <c r="J112" i="12"/>
  <c r="J111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93" i="12"/>
  <c r="G107" i="12"/>
  <c r="H107" i="12"/>
  <c r="G106" i="12"/>
  <c r="H106" i="12"/>
  <c r="C35" i="12"/>
  <c r="D48" i="34" s="1"/>
  <c r="N75" i="12"/>
  <c r="N76" i="12"/>
  <c r="N77" i="12"/>
  <c r="N78" i="12"/>
  <c r="N79" i="12"/>
  <c r="N80" i="12"/>
  <c r="N74" i="12"/>
  <c r="N68" i="12"/>
  <c r="N69" i="12"/>
  <c r="N70" i="12"/>
  <c r="N71" i="12"/>
  <c r="N72" i="12"/>
  <c r="N73" i="12"/>
  <c r="N66" i="12"/>
  <c r="N67" i="12"/>
  <c r="N47" i="12"/>
  <c r="J89" i="12"/>
  <c r="J90" i="12"/>
  <c r="J91" i="12"/>
  <c r="J92" i="12"/>
  <c r="J88" i="12"/>
  <c r="J82" i="12"/>
  <c r="J83" i="12"/>
  <c r="J84" i="12"/>
  <c r="J85" i="12"/>
  <c r="J86" i="12"/>
  <c r="J87" i="12"/>
  <c r="J81" i="12"/>
  <c r="J71" i="12"/>
  <c r="J72" i="12"/>
  <c r="J73" i="12"/>
  <c r="J74" i="12"/>
  <c r="J75" i="12"/>
  <c r="J76" i="12"/>
  <c r="J77" i="12"/>
  <c r="J78" i="12"/>
  <c r="J79" i="12"/>
  <c r="J80" i="12"/>
  <c r="J70" i="12"/>
  <c r="J48" i="12"/>
  <c r="J66" i="12"/>
  <c r="J67" i="12"/>
  <c r="J68" i="12"/>
  <c r="J69" i="12"/>
  <c r="I47" i="12"/>
  <c r="J47" i="12" s="1"/>
  <c r="I46" i="12"/>
  <c r="J46" i="12" s="1"/>
  <c r="D47" i="12"/>
  <c r="D46" i="12"/>
  <c r="I64" i="34"/>
  <c r="J113" i="12"/>
  <c r="J128" i="12"/>
  <c r="N19" i="12"/>
  <c r="I109" i="11"/>
  <c r="M113" i="11" s="1"/>
  <c r="E31" i="61"/>
  <c r="G31" i="61" s="1"/>
  <c r="E19" i="61"/>
  <c r="G19" i="61" s="1"/>
  <c r="J19" i="61" s="1"/>
  <c r="C8" i="12"/>
  <c r="D6" i="34" s="1"/>
  <c r="H131" i="66"/>
  <c r="H3" i="34"/>
  <c r="J38" i="12"/>
  <c r="H38" i="12"/>
  <c r="G38" i="12"/>
  <c r="G37" i="12"/>
  <c r="D113" i="12"/>
  <c r="D53" i="34" s="1"/>
  <c r="D128" i="12"/>
  <c r="G90" i="12"/>
  <c r="H90" i="12"/>
  <c r="G91" i="12"/>
  <c r="H91" i="12"/>
  <c r="H101" i="12"/>
  <c r="H81" i="12"/>
  <c r="G81" i="12"/>
  <c r="C42" i="61"/>
  <c r="I42" i="61" s="1"/>
  <c r="C43" i="61"/>
  <c r="I43" i="61" s="1"/>
  <c r="C44" i="61"/>
  <c r="I44" i="61" s="1"/>
  <c r="C45" i="61"/>
  <c r="I45" i="61" s="1"/>
  <c r="B7" i="66"/>
  <c r="C7" i="66"/>
  <c r="D7" i="66"/>
  <c r="E7" i="66"/>
  <c r="F7" i="66"/>
  <c r="G7" i="66"/>
  <c r="H7" i="66"/>
  <c r="I7" i="66"/>
  <c r="J7" i="66"/>
  <c r="K7" i="66"/>
  <c r="L7" i="66"/>
  <c r="M7" i="66"/>
  <c r="N7" i="66"/>
  <c r="A8" i="66"/>
  <c r="B8" i="66"/>
  <c r="C8" i="66"/>
  <c r="D8" i="66"/>
  <c r="E8" i="66"/>
  <c r="F8" i="66"/>
  <c r="G8" i="66"/>
  <c r="H8" i="66"/>
  <c r="I8" i="66"/>
  <c r="J8" i="66"/>
  <c r="K8" i="66"/>
  <c r="L8" i="66"/>
  <c r="M8" i="66"/>
  <c r="N8" i="66"/>
  <c r="A9" i="66"/>
  <c r="A10" i="66" s="1"/>
  <c r="A11" i="66" s="1"/>
  <c r="A12" i="66" s="1"/>
  <c r="A13" i="66" s="1"/>
  <c r="A14" i="66" s="1"/>
  <c r="A15" i="66" s="1"/>
  <c r="A16" i="66" s="1"/>
  <c r="A17" i="66" s="1"/>
  <c r="A18" i="66" s="1"/>
  <c r="A19" i="66" s="1"/>
  <c r="A20" i="66" s="1"/>
  <c r="A21" i="66" s="1"/>
  <c r="A22" i="66" s="1"/>
  <c r="A23" i="66" s="1"/>
  <c r="A24" i="66" s="1"/>
  <c r="A25" i="66" s="1"/>
  <c r="A26" i="66" s="1"/>
  <c r="A27" i="66" s="1"/>
  <c r="A28" i="66" s="1"/>
  <c r="A29" i="66" s="1"/>
  <c r="A30" i="66" s="1"/>
  <c r="A31" i="66" s="1"/>
  <c r="A32" i="66" s="1"/>
  <c r="A33" i="66" s="1"/>
  <c r="A34" i="66" s="1"/>
  <c r="A35" i="66" s="1"/>
  <c r="A36" i="66" s="1"/>
  <c r="B9" i="66"/>
  <c r="C9" i="66"/>
  <c r="D9" i="66"/>
  <c r="E9" i="66"/>
  <c r="F9" i="66"/>
  <c r="G9" i="66"/>
  <c r="H9" i="66"/>
  <c r="I9" i="66"/>
  <c r="J9" i="66"/>
  <c r="K9" i="66"/>
  <c r="L9" i="66"/>
  <c r="M9" i="66"/>
  <c r="N9" i="66"/>
  <c r="B10" i="66"/>
  <c r="C10" i="66"/>
  <c r="D10" i="66"/>
  <c r="E10" i="66"/>
  <c r="F10" i="66"/>
  <c r="G10" i="66"/>
  <c r="H10" i="66"/>
  <c r="I10" i="66"/>
  <c r="J10" i="66"/>
  <c r="K10" i="66"/>
  <c r="L10" i="66"/>
  <c r="M10" i="66"/>
  <c r="N10" i="66"/>
  <c r="B11" i="66"/>
  <c r="C11" i="66"/>
  <c r="D11" i="66"/>
  <c r="E11" i="66"/>
  <c r="F11" i="66"/>
  <c r="G11" i="66"/>
  <c r="H11" i="66"/>
  <c r="I11" i="66"/>
  <c r="J11" i="66"/>
  <c r="K11" i="66"/>
  <c r="L11" i="66"/>
  <c r="M11" i="66"/>
  <c r="N11" i="66"/>
  <c r="B12" i="66"/>
  <c r="C12" i="66"/>
  <c r="D12" i="66"/>
  <c r="E12" i="66"/>
  <c r="F12" i="66"/>
  <c r="G12" i="66"/>
  <c r="H12" i="66"/>
  <c r="I12" i="66"/>
  <c r="J12" i="66"/>
  <c r="K12" i="66"/>
  <c r="L12" i="66"/>
  <c r="M12" i="66"/>
  <c r="N12" i="66"/>
  <c r="B13" i="66"/>
  <c r="C13" i="66"/>
  <c r="D13" i="66"/>
  <c r="E13" i="66"/>
  <c r="F13" i="66"/>
  <c r="G13" i="66"/>
  <c r="H13" i="66"/>
  <c r="I13" i="66"/>
  <c r="J13" i="66"/>
  <c r="K13" i="66"/>
  <c r="L13" i="66"/>
  <c r="M13" i="66"/>
  <c r="N13" i="66"/>
  <c r="B14" i="66"/>
  <c r="C14" i="66"/>
  <c r="D14" i="66"/>
  <c r="E14" i="66"/>
  <c r="F14" i="66"/>
  <c r="G14" i="66"/>
  <c r="H14" i="66"/>
  <c r="I14" i="66"/>
  <c r="J14" i="66"/>
  <c r="K14" i="66"/>
  <c r="L14" i="66"/>
  <c r="M14" i="66"/>
  <c r="N14" i="66"/>
  <c r="B15" i="66"/>
  <c r="C15" i="66"/>
  <c r="D15" i="66"/>
  <c r="E15" i="66"/>
  <c r="F15" i="66"/>
  <c r="G15" i="66"/>
  <c r="H15" i="66"/>
  <c r="I15" i="66"/>
  <c r="J15" i="66"/>
  <c r="K15" i="66"/>
  <c r="L15" i="66"/>
  <c r="M15" i="66"/>
  <c r="N15" i="66"/>
  <c r="B16" i="66"/>
  <c r="C16" i="66"/>
  <c r="D16" i="66"/>
  <c r="E16" i="66"/>
  <c r="F16" i="66"/>
  <c r="G16" i="66"/>
  <c r="H16" i="66"/>
  <c r="I16" i="66"/>
  <c r="J16" i="66"/>
  <c r="K16" i="66"/>
  <c r="L16" i="66"/>
  <c r="M16" i="66"/>
  <c r="N16" i="66"/>
  <c r="B17" i="66"/>
  <c r="C17" i="66"/>
  <c r="D17" i="66"/>
  <c r="E17" i="66"/>
  <c r="F17" i="66"/>
  <c r="G17" i="66"/>
  <c r="H17" i="66"/>
  <c r="I17" i="66"/>
  <c r="J17" i="66"/>
  <c r="K17" i="66"/>
  <c r="L17" i="66"/>
  <c r="M17" i="66"/>
  <c r="N17" i="66"/>
  <c r="B18" i="66"/>
  <c r="C18" i="66"/>
  <c r="D18" i="66"/>
  <c r="E18" i="66"/>
  <c r="F18" i="66"/>
  <c r="G18" i="66"/>
  <c r="H18" i="66"/>
  <c r="I18" i="66"/>
  <c r="J18" i="66"/>
  <c r="K18" i="66"/>
  <c r="L18" i="66"/>
  <c r="M18" i="66"/>
  <c r="N18" i="66"/>
  <c r="B19" i="66"/>
  <c r="C19" i="66"/>
  <c r="D19" i="66"/>
  <c r="E19" i="66"/>
  <c r="F19" i="66"/>
  <c r="G19" i="66"/>
  <c r="H19" i="66"/>
  <c r="I19" i="66"/>
  <c r="J19" i="66"/>
  <c r="K19" i="66"/>
  <c r="L19" i="66"/>
  <c r="M19" i="66"/>
  <c r="N19" i="66"/>
  <c r="B20" i="66"/>
  <c r="C20" i="66"/>
  <c r="D20" i="66"/>
  <c r="E20" i="66"/>
  <c r="F20" i="66"/>
  <c r="G20" i="66"/>
  <c r="H20" i="66"/>
  <c r="I20" i="66"/>
  <c r="J20" i="66"/>
  <c r="K20" i="66"/>
  <c r="L20" i="66"/>
  <c r="M20" i="66"/>
  <c r="N20" i="66"/>
  <c r="B21" i="66"/>
  <c r="C21" i="66"/>
  <c r="D21" i="66"/>
  <c r="E21" i="66"/>
  <c r="F21" i="66"/>
  <c r="G21" i="66"/>
  <c r="H21" i="66"/>
  <c r="I21" i="66"/>
  <c r="J21" i="66"/>
  <c r="K21" i="66"/>
  <c r="L21" i="66"/>
  <c r="M21" i="66"/>
  <c r="N21" i="66"/>
  <c r="B22" i="66"/>
  <c r="C22" i="66"/>
  <c r="D22" i="66"/>
  <c r="E22" i="66"/>
  <c r="F22" i="66"/>
  <c r="G22" i="66"/>
  <c r="H22" i="66"/>
  <c r="I22" i="66"/>
  <c r="J22" i="66"/>
  <c r="K22" i="66"/>
  <c r="L22" i="66"/>
  <c r="M22" i="66"/>
  <c r="N22" i="66"/>
  <c r="B23" i="66"/>
  <c r="C23" i="66"/>
  <c r="D23" i="66"/>
  <c r="E23" i="66"/>
  <c r="F23" i="66"/>
  <c r="G23" i="66"/>
  <c r="H23" i="66"/>
  <c r="I23" i="66"/>
  <c r="J23" i="66"/>
  <c r="K23" i="66"/>
  <c r="L23" i="66"/>
  <c r="M23" i="66"/>
  <c r="N23" i="66"/>
  <c r="B24" i="66"/>
  <c r="C24" i="66"/>
  <c r="D24" i="66"/>
  <c r="E24" i="66"/>
  <c r="F24" i="66"/>
  <c r="G24" i="66"/>
  <c r="H24" i="66"/>
  <c r="I24" i="66"/>
  <c r="J24" i="66"/>
  <c r="K24" i="66"/>
  <c r="L24" i="66"/>
  <c r="M24" i="66"/>
  <c r="N24" i="66"/>
  <c r="B25" i="66"/>
  <c r="C25" i="66"/>
  <c r="D25" i="66"/>
  <c r="E25" i="66"/>
  <c r="F25" i="66"/>
  <c r="G25" i="66"/>
  <c r="H25" i="66"/>
  <c r="I25" i="66"/>
  <c r="J25" i="66"/>
  <c r="K25" i="66"/>
  <c r="L25" i="66"/>
  <c r="M25" i="66"/>
  <c r="N25" i="66"/>
  <c r="B26" i="66"/>
  <c r="C26" i="66"/>
  <c r="D26" i="66"/>
  <c r="E26" i="66"/>
  <c r="F26" i="66"/>
  <c r="G26" i="66"/>
  <c r="H26" i="66"/>
  <c r="I26" i="66"/>
  <c r="J26" i="66"/>
  <c r="K26" i="66"/>
  <c r="L26" i="66"/>
  <c r="M26" i="66"/>
  <c r="N26" i="66"/>
  <c r="B27" i="66"/>
  <c r="C27" i="66"/>
  <c r="D27" i="66"/>
  <c r="E27" i="66"/>
  <c r="F27" i="66"/>
  <c r="G27" i="66"/>
  <c r="H27" i="66"/>
  <c r="I27" i="66"/>
  <c r="J27" i="66"/>
  <c r="K27" i="66"/>
  <c r="L27" i="66"/>
  <c r="M27" i="66"/>
  <c r="N27" i="66"/>
  <c r="B28" i="66"/>
  <c r="C28" i="66"/>
  <c r="D28" i="66"/>
  <c r="E28" i="66"/>
  <c r="F28" i="66"/>
  <c r="G28" i="66"/>
  <c r="H28" i="66"/>
  <c r="I28" i="66"/>
  <c r="J28" i="66"/>
  <c r="K28" i="66"/>
  <c r="L28" i="66"/>
  <c r="M28" i="66"/>
  <c r="N28" i="66"/>
  <c r="B29" i="66"/>
  <c r="C29" i="66"/>
  <c r="D29" i="66"/>
  <c r="E29" i="66"/>
  <c r="F29" i="66"/>
  <c r="G29" i="66"/>
  <c r="H29" i="66"/>
  <c r="I29" i="66"/>
  <c r="J29" i="66"/>
  <c r="K29" i="66"/>
  <c r="L29" i="66"/>
  <c r="M29" i="66"/>
  <c r="N29" i="66"/>
  <c r="B30" i="66"/>
  <c r="C30" i="66"/>
  <c r="D30" i="66"/>
  <c r="E30" i="66"/>
  <c r="F30" i="66"/>
  <c r="G30" i="66"/>
  <c r="H30" i="66"/>
  <c r="I30" i="66"/>
  <c r="J30" i="66"/>
  <c r="K30" i="66"/>
  <c r="L30" i="66"/>
  <c r="M30" i="66"/>
  <c r="N30" i="66"/>
  <c r="B31" i="66"/>
  <c r="C31" i="66"/>
  <c r="D31" i="66"/>
  <c r="E31" i="66"/>
  <c r="F31" i="66"/>
  <c r="G31" i="66"/>
  <c r="H31" i="66"/>
  <c r="I31" i="66"/>
  <c r="J31" i="66"/>
  <c r="K31" i="66"/>
  <c r="L31" i="66"/>
  <c r="M31" i="66"/>
  <c r="N31" i="66"/>
  <c r="B32" i="66"/>
  <c r="C32" i="66"/>
  <c r="D32" i="66"/>
  <c r="E32" i="66"/>
  <c r="F32" i="66"/>
  <c r="G32" i="66"/>
  <c r="H32" i="66"/>
  <c r="I32" i="66"/>
  <c r="J32" i="66"/>
  <c r="K32" i="66"/>
  <c r="L32" i="66"/>
  <c r="M32" i="66"/>
  <c r="N32" i="66"/>
  <c r="B33" i="66"/>
  <c r="C33" i="66"/>
  <c r="D33" i="66"/>
  <c r="E33" i="66"/>
  <c r="F33" i="66"/>
  <c r="G33" i="66"/>
  <c r="H33" i="66"/>
  <c r="I33" i="66"/>
  <c r="J33" i="66"/>
  <c r="K33" i="66"/>
  <c r="L33" i="66"/>
  <c r="M33" i="66"/>
  <c r="N33" i="66"/>
  <c r="B34" i="66"/>
  <c r="C34" i="66"/>
  <c r="D34" i="66"/>
  <c r="E34" i="66"/>
  <c r="F34" i="66"/>
  <c r="G34" i="66"/>
  <c r="H34" i="66"/>
  <c r="I34" i="66"/>
  <c r="J34" i="66"/>
  <c r="K34" i="66"/>
  <c r="L34" i="66"/>
  <c r="M34" i="66"/>
  <c r="N34" i="66"/>
  <c r="B35" i="66"/>
  <c r="C35" i="66"/>
  <c r="D35" i="66"/>
  <c r="E35" i="66"/>
  <c r="F35" i="66"/>
  <c r="G35" i="66"/>
  <c r="H35" i="66"/>
  <c r="I35" i="66"/>
  <c r="J35" i="66"/>
  <c r="K35" i="66"/>
  <c r="L35" i="66"/>
  <c r="M35" i="66"/>
  <c r="N35" i="66"/>
  <c r="B36" i="66"/>
  <c r="C36" i="66"/>
  <c r="D36" i="66"/>
  <c r="E36" i="66"/>
  <c r="F36" i="66"/>
  <c r="G36" i="66"/>
  <c r="H36" i="66"/>
  <c r="I36" i="66"/>
  <c r="J36" i="66"/>
  <c r="K36" i="66"/>
  <c r="L36" i="66"/>
  <c r="M36" i="66"/>
  <c r="N36" i="66"/>
  <c r="B37" i="66"/>
  <c r="C37" i="66"/>
  <c r="D37" i="66"/>
  <c r="E37" i="66"/>
  <c r="F37" i="66"/>
  <c r="G37" i="66"/>
  <c r="H37" i="66"/>
  <c r="I37" i="66"/>
  <c r="J37" i="66"/>
  <c r="K37" i="66"/>
  <c r="L37" i="66"/>
  <c r="M37" i="66"/>
  <c r="N37" i="66"/>
  <c r="B38" i="66"/>
  <c r="C38" i="66"/>
  <c r="D38" i="66"/>
  <c r="E38" i="66"/>
  <c r="F38" i="66"/>
  <c r="G38" i="66"/>
  <c r="H38" i="66"/>
  <c r="I38" i="66"/>
  <c r="J38" i="66"/>
  <c r="K38" i="66"/>
  <c r="L38" i="66"/>
  <c r="M38" i="66"/>
  <c r="N38" i="66"/>
  <c r="B39" i="66"/>
  <c r="C39" i="66"/>
  <c r="D39" i="66"/>
  <c r="E39" i="66"/>
  <c r="F39" i="66"/>
  <c r="G39" i="66"/>
  <c r="H39" i="66"/>
  <c r="I39" i="66"/>
  <c r="J39" i="66"/>
  <c r="K39" i="66"/>
  <c r="L39" i="66"/>
  <c r="M39" i="66"/>
  <c r="N39" i="66"/>
  <c r="B40" i="66"/>
  <c r="C40" i="66"/>
  <c r="D40" i="66"/>
  <c r="E40" i="66"/>
  <c r="F40" i="66"/>
  <c r="G40" i="66"/>
  <c r="H40" i="66"/>
  <c r="I40" i="66"/>
  <c r="J40" i="66"/>
  <c r="K40" i="66"/>
  <c r="L40" i="66"/>
  <c r="M40" i="66"/>
  <c r="N40" i="66"/>
  <c r="B41" i="66"/>
  <c r="C41" i="66"/>
  <c r="D41" i="66"/>
  <c r="E41" i="66"/>
  <c r="F41" i="66"/>
  <c r="G41" i="66"/>
  <c r="H41" i="66"/>
  <c r="I41" i="66"/>
  <c r="J41" i="66"/>
  <c r="K41" i="66"/>
  <c r="L41" i="66"/>
  <c r="M41" i="66"/>
  <c r="N41" i="66"/>
  <c r="B42" i="66"/>
  <c r="C42" i="66"/>
  <c r="D42" i="66"/>
  <c r="E42" i="66"/>
  <c r="F42" i="66"/>
  <c r="G42" i="66"/>
  <c r="H42" i="66"/>
  <c r="I42" i="66"/>
  <c r="J42" i="66"/>
  <c r="K42" i="66"/>
  <c r="L42" i="66"/>
  <c r="M42" i="66"/>
  <c r="N42" i="66"/>
  <c r="B43" i="66"/>
  <c r="C43" i="66"/>
  <c r="D43" i="66"/>
  <c r="E43" i="66"/>
  <c r="F43" i="66"/>
  <c r="G43" i="66"/>
  <c r="H43" i="66"/>
  <c r="I43" i="66"/>
  <c r="J43" i="66"/>
  <c r="K43" i="66"/>
  <c r="L43" i="66"/>
  <c r="M43" i="66"/>
  <c r="N43" i="66"/>
  <c r="B44" i="66"/>
  <c r="C44" i="66"/>
  <c r="D44" i="66"/>
  <c r="E44" i="66"/>
  <c r="F44" i="66"/>
  <c r="G44" i="66"/>
  <c r="H44" i="66"/>
  <c r="I44" i="66"/>
  <c r="J44" i="66"/>
  <c r="K44" i="66"/>
  <c r="L44" i="66"/>
  <c r="M44" i="66"/>
  <c r="N44" i="66"/>
  <c r="B45" i="66"/>
  <c r="C45" i="66"/>
  <c r="D45" i="66"/>
  <c r="E45" i="66"/>
  <c r="F45" i="66"/>
  <c r="G45" i="66"/>
  <c r="H45" i="66"/>
  <c r="I45" i="66"/>
  <c r="J45" i="66"/>
  <c r="K45" i="66"/>
  <c r="L45" i="66"/>
  <c r="M45" i="66"/>
  <c r="N45" i="66"/>
  <c r="B46" i="66"/>
  <c r="C46" i="66"/>
  <c r="D46" i="66"/>
  <c r="E46" i="66"/>
  <c r="F46" i="66"/>
  <c r="G46" i="66"/>
  <c r="H46" i="66"/>
  <c r="I46" i="66"/>
  <c r="J46" i="66"/>
  <c r="K46" i="66"/>
  <c r="L46" i="66"/>
  <c r="M46" i="66"/>
  <c r="N46" i="66"/>
  <c r="B47" i="66"/>
  <c r="C47" i="66"/>
  <c r="D47" i="66"/>
  <c r="E47" i="66"/>
  <c r="F47" i="66"/>
  <c r="G47" i="66"/>
  <c r="H47" i="66"/>
  <c r="I47" i="66"/>
  <c r="J47" i="66"/>
  <c r="K47" i="66"/>
  <c r="L47" i="66"/>
  <c r="M47" i="66"/>
  <c r="N47" i="66"/>
  <c r="B48" i="66"/>
  <c r="C48" i="66"/>
  <c r="D48" i="66"/>
  <c r="E48" i="66"/>
  <c r="F48" i="66"/>
  <c r="G48" i="66"/>
  <c r="H48" i="66"/>
  <c r="I48" i="66"/>
  <c r="J48" i="66"/>
  <c r="K48" i="66"/>
  <c r="L48" i="66"/>
  <c r="M48" i="66"/>
  <c r="N48" i="66"/>
  <c r="B49" i="66"/>
  <c r="C49" i="66"/>
  <c r="D49" i="66"/>
  <c r="E49" i="66"/>
  <c r="F49" i="66"/>
  <c r="G49" i="66"/>
  <c r="H49" i="66"/>
  <c r="I49" i="66"/>
  <c r="J49" i="66"/>
  <c r="K49" i="66"/>
  <c r="L49" i="66"/>
  <c r="M49" i="66"/>
  <c r="N49" i="66"/>
  <c r="B50" i="66"/>
  <c r="C50" i="66"/>
  <c r="D50" i="66"/>
  <c r="E50" i="66"/>
  <c r="F50" i="66"/>
  <c r="G50" i="66"/>
  <c r="H50" i="66"/>
  <c r="I50" i="66"/>
  <c r="J50" i="66"/>
  <c r="K50" i="66"/>
  <c r="L50" i="66"/>
  <c r="M50" i="66"/>
  <c r="N50" i="66"/>
  <c r="B51" i="66"/>
  <c r="C51" i="66"/>
  <c r="D51" i="66"/>
  <c r="E51" i="66"/>
  <c r="F51" i="66"/>
  <c r="G51" i="66"/>
  <c r="H51" i="66"/>
  <c r="I51" i="66"/>
  <c r="J51" i="66"/>
  <c r="K51" i="66"/>
  <c r="L51" i="66"/>
  <c r="M51" i="66"/>
  <c r="N51" i="66"/>
  <c r="B52" i="66"/>
  <c r="C52" i="66"/>
  <c r="D52" i="66"/>
  <c r="E52" i="66"/>
  <c r="F52" i="66"/>
  <c r="G52" i="66"/>
  <c r="H52" i="66"/>
  <c r="I52" i="66"/>
  <c r="J52" i="66"/>
  <c r="K52" i="66"/>
  <c r="L52" i="66"/>
  <c r="M52" i="66"/>
  <c r="N52" i="66"/>
  <c r="B53" i="66"/>
  <c r="C53" i="66"/>
  <c r="D53" i="66"/>
  <c r="E53" i="66"/>
  <c r="F53" i="66"/>
  <c r="G53" i="66"/>
  <c r="H53" i="66"/>
  <c r="I53" i="66"/>
  <c r="J53" i="66"/>
  <c r="K53" i="66"/>
  <c r="L53" i="66"/>
  <c r="M53" i="66"/>
  <c r="N53" i="66"/>
  <c r="B54" i="66"/>
  <c r="C54" i="66"/>
  <c r="D54" i="66"/>
  <c r="E54" i="66"/>
  <c r="F54" i="66"/>
  <c r="G54" i="66"/>
  <c r="H54" i="66"/>
  <c r="I54" i="66"/>
  <c r="J54" i="66"/>
  <c r="K54" i="66"/>
  <c r="L54" i="66"/>
  <c r="M54" i="66"/>
  <c r="N54" i="66"/>
  <c r="B55" i="66"/>
  <c r="C55" i="66"/>
  <c r="D55" i="66"/>
  <c r="E55" i="66"/>
  <c r="F55" i="66"/>
  <c r="G55" i="66"/>
  <c r="H55" i="66"/>
  <c r="I55" i="66"/>
  <c r="J55" i="66"/>
  <c r="K55" i="66"/>
  <c r="L55" i="66"/>
  <c r="M55" i="66"/>
  <c r="N55" i="66"/>
  <c r="B56" i="66"/>
  <c r="C56" i="66"/>
  <c r="D56" i="66"/>
  <c r="E56" i="66"/>
  <c r="F56" i="66"/>
  <c r="G56" i="66"/>
  <c r="H56" i="66"/>
  <c r="I56" i="66"/>
  <c r="J56" i="66"/>
  <c r="K56" i="66"/>
  <c r="L56" i="66"/>
  <c r="M56" i="66"/>
  <c r="N56" i="66"/>
  <c r="B57" i="66"/>
  <c r="C57" i="66"/>
  <c r="D57" i="66"/>
  <c r="E57" i="66"/>
  <c r="F57" i="66"/>
  <c r="G57" i="66"/>
  <c r="H57" i="66"/>
  <c r="I57" i="66"/>
  <c r="J57" i="66"/>
  <c r="K57" i="66"/>
  <c r="L57" i="66"/>
  <c r="M57" i="66"/>
  <c r="N57" i="66"/>
  <c r="B58" i="66"/>
  <c r="C58" i="66"/>
  <c r="D58" i="66"/>
  <c r="E58" i="66"/>
  <c r="F58" i="66"/>
  <c r="G58" i="66"/>
  <c r="H58" i="66"/>
  <c r="I58" i="66"/>
  <c r="J58" i="66"/>
  <c r="K58" i="66"/>
  <c r="L58" i="66"/>
  <c r="M58" i="66"/>
  <c r="N58" i="66"/>
  <c r="B59" i="66"/>
  <c r="C59" i="66"/>
  <c r="D59" i="66"/>
  <c r="E59" i="66"/>
  <c r="F59" i="66"/>
  <c r="G59" i="66"/>
  <c r="H59" i="66"/>
  <c r="I59" i="66"/>
  <c r="J59" i="66"/>
  <c r="K59" i="66"/>
  <c r="L59" i="66"/>
  <c r="M59" i="66"/>
  <c r="N59" i="66"/>
  <c r="B60" i="66"/>
  <c r="C60" i="66"/>
  <c r="D60" i="66"/>
  <c r="E60" i="66"/>
  <c r="F60" i="66"/>
  <c r="G60" i="66"/>
  <c r="H60" i="66"/>
  <c r="I60" i="66"/>
  <c r="J60" i="66"/>
  <c r="K60" i="66"/>
  <c r="L60" i="66"/>
  <c r="M60" i="66"/>
  <c r="N60" i="66"/>
  <c r="B61" i="66"/>
  <c r="C61" i="66"/>
  <c r="D61" i="66"/>
  <c r="E61" i="66"/>
  <c r="F61" i="66"/>
  <c r="G61" i="66"/>
  <c r="H61" i="66"/>
  <c r="I61" i="66"/>
  <c r="J61" i="66"/>
  <c r="K61" i="66"/>
  <c r="L61" i="66"/>
  <c r="M61" i="66"/>
  <c r="N61" i="66"/>
  <c r="B62" i="66"/>
  <c r="C62" i="66"/>
  <c r="D62" i="66"/>
  <c r="E62" i="66"/>
  <c r="F62" i="66"/>
  <c r="G62" i="66"/>
  <c r="H62" i="66"/>
  <c r="J62" i="66"/>
  <c r="K62" i="66"/>
  <c r="L62" i="66"/>
  <c r="M62" i="66"/>
  <c r="N62" i="66"/>
  <c r="B63" i="66"/>
  <c r="C63" i="66"/>
  <c r="D63" i="66"/>
  <c r="E63" i="66"/>
  <c r="F63" i="66"/>
  <c r="G63" i="66"/>
  <c r="I63" i="66"/>
  <c r="J63" i="66"/>
  <c r="K63" i="66"/>
  <c r="L63" i="66"/>
  <c r="M63" i="66"/>
  <c r="N63" i="66"/>
  <c r="B64" i="66"/>
  <c r="C64" i="66"/>
  <c r="D64" i="66"/>
  <c r="E64" i="66"/>
  <c r="F64" i="66"/>
  <c r="G64" i="66"/>
  <c r="H64" i="66"/>
  <c r="I64" i="66"/>
  <c r="J64" i="66"/>
  <c r="K64" i="66"/>
  <c r="L64" i="66"/>
  <c r="M64" i="66"/>
  <c r="N64" i="66"/>
  <c r="B65" i="66"/>
  <c r="C65" i="66"/>
  <c r="D65" i="66"/>
  <c r="E65" i="66"/>
  <c r="F65" i="66"/>
  <c r="G65" i="66"/>
  <c r="H65" i="66"/>
  <c r="I65" i="66"/>
  <c r="J65" i="66"/>
  <c r="K65" i="66"/>
  <c r="L65" i="66"/>
  <c r="M65" i="66"/>
  <c r="N65" i="66"/>
  <c r="G264" i="66"/>
  <c r="H264" i="66"/>
  <c r="I264" i="66"/>
  <c r="J264" i="66"/>
  <c r="A5" i="58"/>
  <c r="A373" i="66"/>
  <c r="A374" i="66" s="1"/>
  <c r="A375" i="66" s="1"/>
  <c r="A376" i="66" s="1"/>
  <c r="A377" i="66" s="1"/>
  <c r="A378" i="66" s="1"/>
  <c r="A379" i="66" s="1"/>
  <c r="A380" i="66" s="1"/>
  <c r="A381" i="66" s="1"/>
  <c r="A382" i="66" s="1"/>
  <c r="A383" i="66" s="1"/>
  <c r="A384" i="66" s="1"/>
  <c r="A385" i="66" s="1"/>
  <c r="A386" i="66" s="1"/>
  <c r="A387" i="66" s="1"/>
  <c r="A388" i="66" s="1"/>
  <c r="A389" i="66" s="1"/>
  <c r="A390" i="66" s="1"/>
  <c r="A391" i="66" s="1"/>
  <c r="A392" i="66" s="1"/>
  <c r="A393" i="66" s="1"/>
  <c r="A394" i="66" s="1"/>
  <c r="A395" i="66" s="1"/>
  <c r="A296" i="66"/>
  <c r="A297" i="66" s="1"/>
  <c r="A298" i="66" s="1"/>
  <c r="A299" i="66" s="1"/>
  <c r="A300" i="66" s="1"/>
  <c r="A301" i="66" s="1"/>
  <c r="A302" i="66" s="1"/>
  <c r="A303" i="66" s="1"/>
  <c r="A304" i="66" s="1"/>
  <c r="A305" i="66" s="1"/>
  <c r="A306" i="66" s="1"/>
  <c r="A307" i="66" s="1"/>
  <c r="A308" i="66" s="1"/>
  <c r="A309" i="66" s="1"/>
  <c r="A310" i="66" s="1"/>
  <c r="A311" i="66" s="1"/>
  <c r="A312" i="66" s="1"/>
  <c r="A313" i="66" s="1"/>
  <c r="A314" i="66" s="1"/>
  <c r="A315" i="66" s="1"/>
  <c r="A316" i="66" s="1"/>
  <c r="A317" i="66" s="1"/>
  <c r="A318" i="66" s="1"/>
  <c r="A319" i="66" s="1"/>
  <c r="A320" i="66" s="1"/>
  <c r="A321" i="66" s="1"/>
  <c r="A140" i="66"/>
  <c r="A141" i="66" s="1"/>
  <c r="A142" i="66" s="1"/>
  <c r="A143" i="66" s="1"/>
  <c r="A144" i="66" s="1"/>
  <c r="A145" i="66" s="1"/>
  <c r="A146" i="66" s="1"/>
  <c r="A147" i="66" s="1"/>
  <c r="A148" i="66" s="1"/>
  <c r="A149" i="66" s="1"/>
  <c r="A150" i="66" s="1"/>
  <c r="A151" i="66" s="1"/>
  <c r="A152" i="66" s="1"/>
  <c r="A153" i="66" s="1"/>
  <c r="A154" i="66" s="1"/>
  <c r="A155" i="66" s="1"/>
  <c r="A156" i="66" s="1"/>
  <c r="A157" i="66" s="1"/>
  <c r="A158" i="66" s="1"/>
  <c r="A159" i="66" s="1"/>
  <c r="A160" i="66" s="1"/>
  <c r="A161" i="66" s="1"/>
  <c r="A162" i="66" s="1"/>
  <c r="A163" i="66" s="1"/>
  <c r="A164" i="66" s="1"/>
  <c r="A165" i="66" s="1"/>
  <c r="A166" i="66" s="1"/>
  <c r="A167" i="66" s="1"/>
  <c r="A168" i="66" s="1"/>
  <c r="A169" i="66" s="1"/>
  <c r="A170" i="66" s="1"/>
  <c r="A171" i="66" s="1"/>
  <c r="A172" i="66" s="1"/>
  <c r="A173" i="66" s="1"/>
  <c r="A174" i="66" s="1"/>
  <c r="A175" i="66" s="1"/>
  <c r="A176" i="66" s="1"/>
  <c r="A177" i="66" s="1"/>
  <c r="A178" i="66" s="1"/>
  <c r="A179" i="66" s="1"/>
  <c r="A180" i="66" s="1"/>
  <c r="A181" i="66" s="1"/>
  <c r="A182" i="66" s="1"/>
  <c r="A183" i="66" s="1"/>
  <c r="A184" i="66" s="1"/>
  <c r="A185" i="66" s="1"/>
  <c r="A186" i="66" s="1"/>
  <c r="A187" i="66" s="1"/>
  <c r="A188" i="66" s="1"/>
  <c r="A189" i="66" s="1"/>
  <c r="A190" i="66" s="1"/>
  <c r="A191" i="66" s="1"/>
  <c r="A192" i="66" s="1"/>
  <c r="A193" i="66" s="1"/>
  <c r="A194" i="66" s="1"/>
  <c r="A195" i="66" s="1"/>
  <c r="A196" i="66" s="1"/>
  <c r="A197" i="66" s="1"/>
  <c r="A206" i="66"/>
  <c r="A207" i="66" s="1"/>
  <c r="A208" i="66" s="1"/>
  <c r="A209" i="66" s="1"/>
  <c r="A210" i="66" s="1"/>
  <c r="A211" i="66" s="1"/>
  <c r="A212" i="66" s="1"/>
  <c r="A213" i="66" s="1"/>
  <c r="A214" i="66" s="1"/>
  <c r="A215" i="66" s="1"/>
  <c r="A216" i="66" s="1"/>
  <c r="A217" i="66" s="1"/>
  <c r="A218" i="66" s="1"/>
  <c r="A219" i="66" s="1"/>
  <c r="A220" i="66" s="1"/>
  <c r="A221" i="66" s="1"/>
  <c r="A222" i="66" s="1"/>
  <c r="A223" i="66" s="1"/>
  <c r="A224" i="66" s="1"/>
  <c r="A225" i="66" s="1"/>
  <c r="A226" i="66" s="1"/>
  <c r="A227" i="66" s="1"/>
  <c r="A228" i="66" s="1"/>
  <c r="A229" i="66" s="1"/>
  <c r="A230" i="66" s="1"/>
  <c r="A231" i="66" s="1"/>
  <c r="A232" i="66" s="1"/>
  <c r="A233" i="66" s="1"/>
  <c r="A234" i="66" s="1"/>
  <c r="A235" i="66" s="1"/>
  <c r="A236" i="66" s="1"/>
  <c r="A237" i="66" s="1"/>
  <c r="A238" i="66" s="1"/>
  <c r="A239" i="66" s="1"/>
  <c r="A240" i="66" s="1"/>
  <c r="A241" i="66" s="1"/>
  <c r="A242" i="66" s="1"/>
  <c r="A243" i="66" s="1"/>
  <c r="A244" i="66" s="1"/>
  <c r="A245" i="66" s="1"/>
  <c r="A246" i="66" s="1"/>
  <c r="A247" i="66" s="1"/>
  <c r="A248" i="66" s="1"/>
  <c r="A249" i="66" s="1"/>
  <c r="A250" i="66" s="1"/>
  <c r="A251" i="66" s="1"/>
  <c r="A252" i="66" s="1"/>
  <c r="A253" i="66" s="1"/>
  <c r="A254" i="66" s="1"/>
  <c r="A255" i="66" s="1"/>
  <c r="A256" i="66" s="1"/>
  <c r="A257" i="66" s="1"/>
  <c r="A258" i="66" s="1"/>
  <c r="A259" i="66" s="1"/>
  <c r="A260" i="66" s="1"/>
  <c r="A261" i="66" s="1"/>
  <c r="A262" i="66" s="1"/>
  <c r="A263" i="66" s="1"/>
  <c r="J198" i="66"/>
  <c r="I198" i="66"/>
  <c r="H198" i="66"/>
  <c r="G198" i="66"/>
  <c r="J330" i="66"/>
  <c r="I330" i="66"/>
  <c r="H330" i="66"/>
  <c r="G330" i="66"/>
  <c r="J396" i="66"/>
  <c r="I396" i="66"/>
  <c r="H396" i="66"/>
  <c r="G396" i="66"/>
  <c r="J132" i="66"/>
  <c r="G132" i="66"/>
  <c r="H129" i="66"/>
  <c r="H63" i="66"/>
  <c r="I128" i="66"/>
  <c r="I132" i="66"/>
  <c r="I397" i="66" s="1"/>
  <c r="I62" i="66"/>
  <c r="A74" i="66"/>
  <c r="A75" i="66" s="1"/>
  <c r="A76" i="66" s="1"/>
  <c r="A77" i="66" s="1"/>
  <c r="A78" i="66" s="1"/>
  <c r="A79" i="66" s="1"/>
  <c r="A80" i="66" s="1"/>
  <c r="A81" i="66" s="1"/>
  <c r="A82" i="66" s="1"/>
  <c r="A83" i="66" s="1"/>
  <c r="A84" i="66" s="1"/>
  <c r="A85" i="66" s="1"/>
  <c r="A86" i="66" s="1"/>
  <c r="A87" i="66" s="1"/>
  <c r="A88" i="66" s="1"/>
  <c r="A89" i="66" s="1"/>
  <c r="A90" i="66" s="1"/>
  <c r="A91" i="66" s="1"/>
  <c r="A92" i="66" s="1"/>
  <c r="A93" i="66" s="1"/>
  <c r="A94" i="66" s="1"/>
  <c r="A95" i="66" s="1"/>
  <c r="A96" i="66" s="1"/>
  <c r="A97" i="66" s="1"/>
  <c r="A98" i="66" s="1"/>
  <c r="A99" i="66" s="1"/>
  <c r="A100" i="66" s="1"/>
  <c r="A101" i="66" s="1"/>
  <c r="A102" i="66" s="1"/>
  <c r="A103" i="66" s="1"/>
  <c r="A104" i="66" s="1"/>
  <c r="A105" i="66" s="1"/>
  <c r="A106" i="66" s="1"/>
  <c r="A107" i="66" s="1"/>
  <c r="A108" i="66" s="1"/>
  <c r="A109" i="66" s="1"/>
  <c r="A110" i="66" s="1"/>
  <c r="A111" i="66" s="1"/>
  <c r="A112" i="66" s="1"/>
  <c r="A113" i="66" s="1"/>
  <c r="A114" i="66" s="1"/>
  <c r="A115" i="66" s="1"/>
  <c r="A116" i="66" s="1"/>
  <c r="A117" i="66" s="1"/>
  <c r="A118" i="66" s="1"/>
  <c r="A119" i="66" s="1"/>
  <c r="A120" i="66" s="1"/>
  <c r="A121" i="66" s="1"/>
  <c r="A122" i="66" s="1"/>
  <c r="A123" i="66" s="1"/>
  <c r="A124" i="66" s="1"/>
  <c r="A125" i="66" s="1"/>
  <c r="A126" i="66" s="1"/>
  <c r="A127" i="66" s="1"/>
  <c r="A128" i="66" s="1"/>
  <c r="A129" i="66" s="1"/>
  <c r="A130" i="66" s="1"/>
  <c r="A131" i="66" s="1"/>
  <c r="A10" i="32"/>
  <c r="D6" i="72"/>
  <c r="AF10" i="42"/>
  <c r="C3" i="58" s="1"/>
  <c r="P49" i="42"/>
  <c r="A1" i="70" s="1"/>
  <c r="Q77" i="63"/>
  <c r="R77" i="63" s="1"/>
  <c r="W76" i="63"/>
  <c r="Q76" i="63"/>
  <c r="R76" i="63" s="1"/>
  <c r="W75" i="63"/>
  <c r="Q75" i="63"/>
  <c r="R75" i="63" s="1"/>
  <c r="W74" i="63"/>
  <c r="W81" i="63" s="1"/>
  <c r="Q74" i="63"/>
  <c r="V71" i="63"/>
  <c r="S71" i="63"/>
  <c r="R71" i="63" s="1"/>
  <c r="Q71" i="63"/>
  <c r="A24" i="64"/>
  <c r="A45" i="64" s="1"/>
  <c r="F109" i="43"/>
  <c r="H109" i="43" s="1"/>
  <c r="F98" i="43"/>
  <c r="H90" i="63"/>
  <c r="H89" i="63"/>
  <c r="B86" i="63"/>
  <c r="D83" i="63"/>
  <c r="D70" i="63"/>
  <c r="J67" i="63"/>
  <c r="B62" i="63"/>
  <c r="K62" i="63" s="1"/>
  <c r="P59" i="63"/>
  <c r="O59" i="63"/>
  <c r="P58" i="63"/>
  <c r="O58" i="63"/>
  <c r="P57" i="63"/>
  <c r="O57" i="63"/>
  <c r="G51" i="63" s="1"/>
  <c r="P56" i="63"/>
  <c r="O56" i="63"/>
  <c r="Q55" i="63"/>
  <c r="P55" i="63"/>
  <c r="O55" i="63"/>
  <c r="F54" i="63"/>
  <c r="X52" i="63"/>
  <c r="W52" i="63"/>
  <c r="Q59" i="63" s="1"/>
  <c r="X51" i="63"/>
  <c r="W51" i="63"/>
  <c r="Q58" i="63" s="1"/>
  <c r="B51" i="63"/>
  <c r="E51" i="63" s="1"/>
  <c r="X50" i="63"/>
  <c r="W50" i="63"/>
  <c r="Q57" i="63" s="1"/>
  <c r="H56" i="63" s="1"/>
  <c r="X49" i="63"/>
  <c r="W49" i="63"/>
  <c r="Q56" i="63" s="1"/>
  <c r="H45" i="63"/>
  <c r="H44" i="63"/>
  <c r="A2" i="63"/>
  <c r="A47" i="63" s="1"/>
  <c r="J2" i="63"/>
  <c r="J47" i="63" s="1"/>
  <c r="B41" i="63"/>
  <c r="D38" i="63"/>
  <c r="J22" i="63"/>
  <c r="D25" i="63"/>
  <c r="B6" i="63"/>
  <c r="E6" i="63" s="1"/>
  <c r="B17" i="63"/>
  <c r="K17" i="63"/>
  <c r="I17" i="63"/>
  <c r="Q10" i="63"/>
  <c r="X5" i="63"/>
  <c r="X6" i="63"/>
  <c r="X7" i="63"/>
  <c r="X4" i="63"/>
  <c r="W5" i="63"/>
  <c r="Q12" i="63"/>
  <c r="W6" i="63"/>
  <c r="Q13" i="63" s="1"/>
  <c r="W7" i="63"/>
  <c r="Q14" i="63" s="1"/>
  <c r="W4" i="63"/>
  <c r="Q11" i="63" s="1"/>
  <c r="O11" i="63"/>
  <c r="O12" i="63"/>
  <c r="G6" i="63" s="1"/>
  <c r="O13" i="63"/>
  <c r="O14" i="63"/>
  <c r="O10" i="63"/>
  <c r="P11" i="63"/>
  <c r="P12" i="63"/>
  <c r="P13" i="63"/>
  <c r="P14" i="63"/>
  <c r="P10" i="63"/>
  <c r="F6" i="63"/>
  <c r="D12" i="63" s="1"/>
  <c r="F12" i="63" s="1"/>
  <c r="J13" i="63" s="1"/>
  <c r="F9" i="63"/>
  <c r="C6" i="33"/>
  <c r="C7" i="33"/>
  <c r="C8" i="33"/>
  <c r="C9" i="33"/>
  <c r="C10" i="33"/>
  <c r="C5" i="33"/>
  <c r="B6" i="33"/>
  <c r="B7" i="33"/>
  <c r="A7" i="33" s="1"/>
  <c r="B8" i="33"/>
  <c r="B9" i="33"/>
  <c r="B10" i="33"/>
  <c r="B5" i="33"/>
  <c r="D69" i="61"/>
  <c r="I69" i="61" s="1"/>
  <c r="D70" i="61"/>
  <c r="H139" i="11"/>
  <c r="E33" i="61"/>
  <c r="G33" i="61" s="1"/>
  <c r="H33" i="61"/>
  <c r="E22" i="61"/>
  <c r="G22" i="61" s="1"/>
  <c r="J22" i="61" s="1"/>
  <c r="F34" i="61"/>
  <c r="E32" i="61"/>
  <c r="G32" i="61" s="1"/>
  <c r="J32" i="61"/>
  <c r="E10" i="61"/>
  <c r="H10" i="61"/>
  <c r="E11" i="61"/>
  <c r="G11" i="61" s="1"/>
  <c r="H11" i="61"/>
  <c r="E12" i="61"/>
  <c r="G12" i="61" s="1"/>
  <c r="H12" i="61"/>
  <c r="E21" i="61"/>
  <c r="G21" i="61" s="1"/>
  <c r="J21" i="61" s="1"/>
  <c r="E20" i="61"/>
  <c r="G20" i="61" s="1"/>
  <c r="J20" i="61" s="1"/>
  <c r="E9" i="61"/>
  <c r="H9" i="61"/>
  <c r="F23" i="61"/>
  <c r="D72" i="61"/>
  <c r="D10" i="33" s="1"/>
  <c r="H10" i="33" s="1"/>
  <c r="D71" i="61"/>
  <c r="E8" i="61"/>
  <c r="B21" i="11"/>
  <c r="B12" i="41" s="1"/>
  <c r="V19" i="11"/>
  <c r="R12" i="11"/>
  <c r="R13" i="11"/>
  <c r="R11" i="11"/>
  <c r="S20" i="11"/>
  <c r="S21" i="11"/>
  <c r="S19" i="11"/>
  <c r="R20" i="11"/>
  <c r="R21" i="11"/>
  <c r="R19" i="11"/>
  <c r="P19" i="11"/>
  <c r="V15" i="11"/>
  <c r="R16" i="11"/>
  <c r="R17" i="11"/>
  <c r="R15" i="11"/>
  <c r="P15" i="11"/>
  <c r="P16" i="11" s="1"/>
  <c r="P17" i="11" s="1"/>
  <c r="B17" i="70"/>
  <c r="H37" i="58"/>
  <c r="V16" i="11" s="1"/>
  <c r="B37" i="58"/>
  <c r="B38" i="58" s="1"/>
  <c r="J22" i="32"/>
  <c r="AB9" i="42"/>
  <c r="AB10" i="42" s="1"/>
  <c r="AB11" i="42" s="1"/>
  <c r="AB12" i="42" s="1"/>
  <c r="AB13" i="42"/>
  <c r="N24" i="12" s="1"/>
  <c r="N31" i="12" s="1"/>
  <c r="Y53" i="42"/>
  <c r="I2" i="58" s="1"/>
  <c r="X10" i="42"/>
  <c r="M2" i="58" s="1"/>
  <c r="U34" i="42"/>
  <c r="K2" i="58" s="1"/>
  <c r="B24" i="41"/>
  <c r="H61" i="58"/>
  <c r="H62" i="58" s="1"/>
  <c r="L26" i="41" s="1"/>
  <c r="B61" i="58"/>
  <c r="B62" i="58" s="1"/>
  <c r="B63" i="58" s="1"/>
  <c r="H4" i="58"/>
  <c r="F84" i="74" s="1"/>
  <c r="K21" i="11"/>
  <c r="L12" i="41" s="1"/>
  <c r="L12" i="43" s="1"/>
  <c r="H21" i="11"/>
  <c r="H12" i="41" s="1"/>
  <c r="H20" i="11"/>
  <c r="K18" i="11"/>
  <c r="D7" i="11"/>
  <c r="C5" i="70" s="1"/>
  <c r="H34" i="58"/>
  <c r="H35" i="58" s="1"/>
  <c r="V21" i="11" s="1"/>
  <c r="L16" i="43"/>
  <c r="L17" i="43" s="1"/>
  <c r="L18" i="43" s="1"/>
  <c r="B20" i="74"/>
  <c r="A17" i="58"/>
  <c r="A18" i="58" s="1"/>
  <c r="A19" i="58" s="1"/>
  <c r="A20" i="58" s="1"/>
  <c r="H17" i="58"/>
  <c r="H18" i="58" s="1"/>
  <c r="H19" i="58" s="1"/>
  <c r="H20" i="58" s="1"/>
  <c r="A11" i="58"/>
  <c r="A12" i="58" s="1"/>
  <c r="A13" i="58" s="1"/>
  <c r="A14" i="58" s="1"/>
  <c r="A25" i="58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H11" i="58"/>
  <c r="H12" i="58" s="1"/>
  <c r="H13" i="58" s="1"/>
  <c r="H14" i="58" s="1"/>
  <c r="T3" i="42"/>
  <c r="T4" i="42" s="1"/>
  <c r="T5" i="42" s="1"/>
  <c r="AB4" i="42"/>
  <c r="F3" i="61" s="1"/>
  <c r="L4" i="42"/>
  <c r="L9" i="42" s="1"/>
  <c r="A5" i="42"/>
  <c r="A6" i="42" s="1"/>
  <c r="A7" i="42" s="1"/>
  <c r="A8" i="42" s="1"/>
  <c r="A9" i="42" s="1"/>
  <c r="A10" i="42" s="1"/>
  <c r="A11" i="42" s="1"/>
  <c r="L5" i="42"/>
  <c r="L10" i="42" s="1"/>
  <c r="L6" i="42"/>
  <c r="L11" i="42" s="1"/>
  <c r="L7" i="42"/>
  <c r="L17" i="42" s="1"/>
  <c r="L8" i="42"/>
  <c r="L13" i="42" s="1"/>
  <c r="X9" i="42"/>
  <c r="L4" i="58" s="1"/>
  <c r="M7" i="74" s="1"/>
  <c r="G9" i="42"/>
  <c r="G10" i="42"/>
  <c r="G11" i="42"/>
  <c r="G12" i="42"/>
  <c r="Q7" i="42"/>
  <c r="G13" i="42"/>
  <c r="G14" i="42"/>
  <c r="G15" i="42"/>
  <c r="G16" i="42"/>
  <c r="G17" i="42"/>
  <c r="G18" i="42"/>
  <c r="A24" i="42"/>
  <c r="A25" i="42" s="1"/>
  <c r="A26" i="42" s="1"/>
  <c r="A27" i="42" s="1"/>
  <c r="A28" i="42" s="1"/>
  <c r="A29" i="42" s="1"/>
  <c r="A30" i="42" s="1"/>
  <c r="I28" i="42"/>
  <c r="I33" i="42" s="1"/>
  <c r="I24" i="42" s="1"/>
  <c r="I29" i="42" s="1"/>
  <c r="I34" i="42" s="1"/>
  <c r="I25" i="42" s="1"/>
  <c r="I30" i="42" s="1"/>
  <c r="I35" i="42" s="1"/>
  <c r="I26" i="42" s="1"/>
  <c r="I31" i="42" s="1"/>
  <c r="I36" i="42" s="1"/>
  <c r="I27" i="42" s="1"/>
  <c r="I32" i="42" s="1"/>
  <c r="I37" i="42" s="1"/>
  <c r="E41" i="42"/>
  <c r="F41" i="42" s="1"/>
  <c r="G41" i="42"/>
  <c r="I41" i="42"/>
  <c r="J41" i="42"/>
  <c r="E42" i="42"/>
  <c r="F42" i="42" s="1"/>
  <c r="G42" i="42"/>
  <c r="I42" i="42"/>
  <c r="J42" i="42"/>
  <c r="E43" i="42"/>
  <c r="F43" i="42" s="1"/>
  <c r="G43" i="42"/>
  <c r="I43" i="42"/>
  <c r="J43" i="42"/>
  <c r="E44" i="42"/>
  <c r="F44" i="42" s="1"/>
  <c r="G44" i="42"/>
  <c r="I44" i="42"/>
  <c r="J44" i="42"/>
  <c r="E45" i="42"/>
  <c r="F45" i="42" s="1"/>
  <c r="G45" i="42"/>
  <c r="I45" i="42"/>
  <c r="J45" i="42"/>
  <c r="F4" i="42"/>
  <c r="F9" i="42"/>
  <c r="F14" i="42"/>
  <c r="E4" i="42"/>
  <c r="E9" i="42"/>
  <c r="E14" i="42"/>
  <c r="F5" i="42"/>
  <c r="F10" i="42"/>
  <c r="F15" i="42"/>
  <c r="E5" i="42"/>
  <c r="E10" i="42"/>
  <c r="E15" i="42"/>
  <c r="F6" i="42"/>
  <c r="F11" i="42"/>
  <c r="F16" i="42"/>
  <c r="E6" i="42"/>
  <c r="E11" i="42"/>
  <c r="E16" i="42"/>
  <c r="F7" i="42"/>
  <c r="F12" i="42"/>
  <c r="F17" i="42"/>
  <c r="H52" i="42"/>
  <c r="E7" i="42" s="1"/>
  <c r="E12" i="42"/>
  <c r="E17" i="42"/>
  <c r="F8" i="42"/>
  <c r="F13" i="42"/>
  <c r="F18" i="42"/>
  <c r="H53" i="42"/>
  <c r="E8" i="42" s="1"/>
  <c r="E13" i="42"/>
  <c r="E18" i="42"/>
  <c r="R61" i="42"/>
  <c r="R62" i="42" s="1"/>
  <c r="R63" i="42" s="1"/>
  <c r="R64" i="42" s="1"/>
  <c r="R65" i="42" s="1"/>
  <c r="R66" i="42" s="1"/>
  <c r="R67" i="42" s="1"/>
  <c r="R68" i="42" s="1"/>
  <c r="R69" i="42" s="1"/>
  <c r="R70" i="42" s="1"/>
  <c r="R71" i="42" s="1"/>
  <c r="R72" i="42" s="1"/>
  <c r="H61" i="42"/>
  <c r="I61" i="42" s="1"/>
  <c r="N61" i="42"/>
  <c r="O61" i="42" s="1"/>
  <c r="G62" i="42"/>
  <c r="J81" i="42" s="1"/>
  <c r="N62" i="42"/>
  <c r="O62" i="42" s="1"/>
  <c r="N63" i="42"/>
  <c r="Q63" i="42" s="1"/>
  <c r="H64" i="42"/>
  <c r="I64" i="42" s="1"/>
  <c r="N64" i="42"/>
  <c r="O64" i="42" s="1"/>
  <c r="G65" i="42"/>
  <c r="J84" i="42" s="1"/>
  <c r="N65" i="42"/>
  <c r="O65" i="42" s="1"/>
  <c r="N66" i="42"/>
  <c r="Q66" i="42" s="1"/>
  <c r="H67" i="42"/>
  <c r="I67" i="42" s="1"/>
  <c r="N67" i="42"/>
  <c r="Q67" i="42" s="1"/>
  <c r="G68" i="42"/>
  <c r="N68" i="42"/>
  <c r="O68" i="42" s="1"/>
  <c r="N69" i="42"/>
  <c r="O69" i="42" s="1"/>
  <c r="H70" i="42"/>
  <c r="I70" i="42" s="1"/>
  <c r="N70" i="42"/>
  <c r="O70" i="42" s="1"/>
  <c r="G71" i="42"/>
  <c r="N71" i="42"/>
  <c r="Q71" i="42" s="1"/>
  <c r="N72" i="42"/>
  <c r="O72" i="42" s="1"/>
  <c r="P76" i="42"/>
  <c r="E77" i="42"/>
  <c r="G77" i="42" s="1"/>
  <c r="I77" i="42" s="1"/>
  <c r="K77" i="42"/>
  <c r="M77" i="42" s="1"/>
  <c r="O77" i="42" s="1"/>
  <c r="AA77" i="42" s="1"/>
  <c r="G23" i="42"/>
  <c r="E78" i="42"/>
  <c r="G78" i="42" s="1"/>
  <c r="I78" i="42" s="1"/>
  <c r="K78" i="42"/>
  <c r="M78" i="42" s="1"/>
  <c r="O78" i="42" s="1"/>
  <c r="AA78" i="42" s="1"/>
  <c r="E79" i="42"/>
  <c r="G79" i="42" s="1"/>
  <c r="I79" i="42" s="1"/>
  <c r="K79" i="42"/>
  <c r="M79" i="42" s="1"/>
  <c r="O79" i="42" s="1"/>
  <c r="AA79" i="42" s="1"/>
  <c r="E80" i="42"/>
  <c r="G80" i="42" s="1"/>
  <c r="I80" i="42" s="1"/>
  <c r="K80" i="42"/>
  <c r="M80" i="42" s="1"/>
  <c r="O80" i="42" s="1"/>
  <c r="R80" i="42"/>
  <c r="V80" i="42" s="1"/>
  <c r="E81" i="42"/>
  <c r="R81" i="42"/>
  <c r="V81" i="42" s="1"/>
  <c r="E82" i="42"/>
  <c r="R82" i="42"/>
  <c r="V82" i="42" s="1"/>
  <c r="E83" i="42"/>
  <c r="G83" i="42" s="1"/>
  <c r="I83" i="42" s="1"/>
  <c r="K83" i="42"/>
  <c r="M83" i="42" s="1"/>
  <c r="O83" i="42" s="1"/>
  <c r="R83" i="42"/>
  <c r="V83" i="42" s="1"/>
  <c r="E84" i="42"/>
  <c r="R84" i="42"/>
  <c r="V84" i="42" s="1"/>
  <c r="E85" i="42"/>
  <c r="R85" i="42"/>
  <c r="V85" i="42" s="1"/>
  <c r="E86" i="42"/>
  <c r="G86" i="42" s="1"/>
  <c r="I86" i="42" s="1"/>
  <c r="K86" i="42"/>
  <c r="M86" i="42" s="1"/>
  <c r="O86" i="42" s="1"/>
  <c r="R86" i="42"/>
  <c r="V86" i="42" s="1"/>
  <c r="E87" i="42"/>
  <c r="R87" i="42"/>
  <c r="V87" i="42" s="1"/>
  <c r="E88" i="42"/>
  <c r="R88" i="42"/>
  <c r="V88" i="42" s="1"/>
  <c r="E89" i="42"/>
  <c r="G89" i="42" s="1"/>
  <c r="I89" i="42" s="1"/>
  <c r="K89" i="42"/>
  <c r="M89" i="42" s="1"/>
  <c r="O89" i="42" s="1"/>
  <c r="R89" i="42"/>
  <c r="V89" i="42" s="1"/>
  <c r="E90" i="42"/>
  <c r="R90" i="42"/>
  <c r="V90" i="42" s="1"/>
  <c r="E91" i="42"/>
  <c r="R91" i="42"/>
  <c r="V91" i="42" s="1"/>
  <c r="BM3" i="15"/>
  <c r="BM4" i="15"/>
  <c r="BM5" i="15"/>
  <c r="BM6" i="15"/>
  <c r="BR10" i="15"/>
  <c r="BR11" i="15"/>
  <c r="BR12" i="15"/>
  <c r="BR13" i="15"/>
  <c r="BR14" i="15"/>
  <c r="BR15" i="15"/>
  <c r="BR16" i="15"/>
  <c r="BR17" i="15"/>
  <c r="BR18" i="15"/>
  <c r="BR19" i="15"/>
  <c r="BR20" i="15"/>
  <c r="H59" i="34"/>
  <c r="A2" i="32"/>
  <c r="C7" i="43" s="1"/>
  <c r="L20" i="32"/>
  <c r="L19" i="32"/>
  <c r="L21" i="32"/>
  <c r="H31" i="32"/>
  <c r="D63" i="34" s="1"/>
  <c r="H32" i="32"/>
  <c r="D64" i="34" s="1"/>
  <c r="H35" i="32"/>
  <c r="H36" i="32"/>
  <c r="E28" i="70" s="1"/>
  <c r="H39" i="32"/>
  <c r="I63" i="34" s="1"/>
  <c r="G9" i="12"/>
  <c r="G41" i="12"/>
  <c r="H41" i="12"/>
  <c r="G42" i="12"/>
  <c r="H42" i="12"/>
  <c r="G43" i="12"/>
  <c r="G44" i="12"/>
  <c r="G46" i="12"/>
  <c r="H46" i="12"/>
  <c r="G47" i="12"/>
  <c r="H47" i="12"/>
  <c r="G66" i="12"/>
  <c r="H66" i="12"/>
  <c r="G67" i="12"/>
  <c r="H67" i="12"/>
  <c r="G82" i="12"/>
  <c r="H82" i="12"/>
  <c r="G92" i="12"/>
  <c r="H92" i="12"/>
  <c r="G93" i="12"/>
  <c r="H93" i="12"/>
  <c r="G94" i="12"/>
  <c r="H94" i="12"/>
  <c r="G95" i="12"/>
  <c r="H95" i="12"/>
  <c r="G96" i="12"/>
  <c r="H96" i="12"/>
  <c r="G97" i="12"/>
  <c r="H97" i="12"/>
  <c r="G98" i="12"/>
  <c r="H98" i="12"/>
  <c r="G99" i="12"/>
  <c r="H99" i="12"/>
  <c r="G100" i="12"/>
  <c r="H100" i="12"/>
  <c r="G101" i="12"/>
  <c r="G102" i="12"/>
  <c r="H102" i="12"/>
  <c r="G103" i="12"/>
  <c r="H103" i="12"/>
  <c r="G104" i="12"/>
  <c r="H104" i="12"/>
  <c r="G105" i="12"/>
  <c r="H105" i="12"/>
  <c r="G111" i="12"/>
  <c r="H111" i="12"/>
  <c r="G112" i="12"/>
  <c r="H112" i="12"/>
  <c r="G113" i="12"/>
  <c r="H113" i="12"/>
  <c r="G121" i="12"/>
  <c r="H121" i="12"/>
  <c r="G122" i="12"/>
  <c r="H122" i="12"/>
  <c r="I122" i="12"/>
  <c r="J122" i="12" s="1"/>
  <c r="G123" i="12"/>
  <c r="H123" i="12"/>
  <c r="G124" i="12"/>
  <c r="H124" i="12"/>
  <c r="G125" i="12"/>
  <c r="H125" i="12"/>
  <c r="G126" i="12"/>
  <c r="H126" i="12"/>
  <c r="I126" i="12"/>
  <c r="J126" i="12" s="1"/>
  <c r="G127" i="12"/>
  <c r="H127" i="12"/>
  <c r="I127" i="12"/>
  <c r="J127" i="12" s="1"/>
  <c r="G128" i="12"/>
  <c r="H128" i="12"/>
  <c r="G129" i="12"/>
  <c r="H129" i="12"/>
  <c r="I129" i="12"/>
  <c r="J129" i="12" s="1"/>
  <c r="G131" i="12"/>
  <c r="H131" i="12"/>
  <c r="B21" i="64"/>
  <c r="B42" i="64" s="1"/>
  <c r="B63" i="64" s="1"/>
  <c r="E21" i="64"/>
  <c r="E42" i="64" s="1"/>
  <c r="E63" i="64" s="1"/>
  <c r="A13" i="43"/>
  <c r="A14" i="43" s="1"/>
  <c r="A15" i="43" s="1"/>
  <c r="A16" i="43" s="1"/>
  <c r="A17" i="43" s="1"/>
  <c r="A18" i="43" s="1"/>
  <c r="N58" i="43"/>
  <c r="H92" i="43"/>
  <c r="F99" i="43" s="1"/>
  <c r="H103" i="43"/>
  <c r="H104" i="43" s="1"/>
  <c r="A13" i="4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N58" i="41"/>
  <c r="I72" i="11"/>
  <c r="J72" i="11"/>
  <c r="I73" i="11"/>
  <c r="J73" i="11"/>
  <c r="I89" i="11"/>
  <c r="G136" i="11"/>
  <c r="H136" i="11"/>
  <c r="H138" i="11"/>
  <c r="H8" i="61"/>
  <c r="H32" i="61"/>
  <c r="AB14" i="42"/>
  <c r="N25" i="12" s="1"/>
  <c r="N32" i="12" s="1"/>
  <c r="G9" i="63"/>
  <c r="H9" i="63" s="1"/>
  <c r="I9" i="63"/>
  <c r="G17" i="63"/>
  <c r="B12" i="63"/>
  <c r="H19" i="61"/>
  <c r="A322" i="66"/>
  <c r="A323" i="66" s="1"/>
  <c r="A324" i="66" s="1"/>
  <c r="A325" i="66" s="1"/>
  <c r="A326" i="66" s="1"/>
  <c r="A327" i="66" s="1"/>
  <c r="A328" i="66" s="1"/>
  <c r="A329" i="66" s="1"/>
  <c r="G397" i="66"/>
  <c r="H132" i="66"/>
  <c r="H397" i="66" s="1"/>
  <c r="G130" i="12"/>
  <c r="H130" i="12"/>
  <c r="I85" i="61"/>
  <c r="D85" i="61"/>
  <c r="F64" i="43" s="1"/>
  <c r="D62" i="43"/>
  <c r="D17" i="75" s="1"/>
  <c r="G17" i="75" s="1"/>
  <c r="F85" i="61"/>
  <c r="K19" i="11"/>
  <c r="L25" i="41"/>
  <c r="H40" i="58"/>
  <c r="H41" i="58" s="1"/>
  <c r="H42" i="58" s="1"/>
  <c r="C41" i="61"/>
  <c r="J41" i="61" s="1"/>
  <c r="E18" i="61"/>
  <c r="G18" i="61" s="1"/>
  <c r="H31" i="61"/>
  <c r="K20" i="11"/>
  <c r="J44" i="61"/>
  <c r="J42" i="61"/>
  <c r="J61" i="42"/>
  <c r="P61" i="42"/>
  <c r="P62" i="42" s="1"/>
  <c r="F51" i="63"/>
  <c r="I87" i="63" s="1"/>
  <c r="I90" i="63" s="1"/>
  <c r="A62" i="63"/>
  <c r="H62" i="63" s="1"/>
  <c r="I71" i="61"/>
  <c r="D9" i="33"/>
  <c r="AH9" i="33" s="1"/>
  <c r="D8" i="33"/>
  <c r="AH8" i="33" s="1"/>
  <c r="I70" i="61"/>
  <c r="A37" i="66"/>
  <c r="A38" i="66" s="1"/>
  <c r="A39" i="66" s="1"/>
  <c r="A40" i="66" s="1"/>
  <c r="A41" i="66" s="1"/>
  <c r="A42" i="66" s="1"/>
  <c r="A43" i="66" s="1"/>
  <c r="A44" i="66" s="1"/>
  <c r="A45" i="66" s="1"/>
  <c r="A46" i="66" s="1"/>
  <c r="A47" i="66" s="1"/>
  <c r="A48" i="66" s="1"/>
  <c r="A49" i="66" s="1"/>
  <c r="A50" i="66" s="1"/>
  <c r="A51" i="66" s="1"/>
  <c r="A52" i="66" s="1"/>
  <c r="A53" i="66" s="1"/>
  <c r="A54" i="66" s="1"/>
  <c r="A55" i="66" s="1"/>
  <c r="A56" i="66" s="1"/>
  <c r="A57" i="66" s="1"/>
  <c r="A58" i="66" s="1"/>
  <c r="A59" i="66" s="1"/>
  <c r="A60" i="66" s="1"/>
  <c r="A61" i="66" s="1"/>
  <c r="A62" i="66" s="1"/>
  <c r="A63" i="66" s="1"/>
  <c r="A64" i="66" s="1"/>
  <c r="A65" i="66" s="1"/>
  <c r="J397" i="66"/>
  <c r="C9" i="63"/>
  <c r="B22" i="63" s="1"/>
  <c r="I42" i="63"/>
  <c r="I45" i="63"/>
  <c r="F120" i="43" s="1"/>
  <c r="A17" i="63"/>
  <c r="H25" i="63" s="1"/>
  <c r="J25" i="63" s="1"/>
  <c r="J26" i="63" s="1"/>
  <c r="B45" i="63" s="1"/>
  <c r="F117" i="43" s="1"/>
  <c r="G62" i="63"/>
  <c r="I62" i="63"/>
  <c r="Q81" i="63"/>
  <c r="R74" i="63"/>
  <c r="D4" i="65"/>
  <c r="K4" i="65" s="1"/>
  <c r="P4" i="65" s="1"/>
  <c r="F158" i="43" s="1"/>
  <c r="X9" i="33"/>
  <c r="H9" i="33"/>
  <c r="O9" i="33" s="1"/>
  <c r="V9" i="33"/>
  <c r="C35" i="63"/>
  <c r="I35" i="63" s="1"/>
  <c r="K35" i="63" s="1"/>
  <c r="E17" i="63"/>
  <c r="E38" i="63"/>
  <c r="F38" i="63" s="1"/>
  <c r="J63" i="63"/>
  <c r="C62" i="63"/>
  <c r="E64" i="63" s="1"/>
  <c r="E70" i="63"/>
  <c r="F70" i="63" s="1"/>
  <c r="J99" i="61"/>
  <c r="M8" i="33"/>
  <c r="H8" i="33"/>
  <c r="O8" i="33" s="1"/>
  <c r="X8" i="33"/>
  <c r="H21" i="61"/>
  <c r="G11" i="70"/>
  <c r="F13" i="61"/>
  <c r="E7" i="61"/>
  <c r="E11" i="70"/>
  <c r="I11" i="32"/>
  <c r="E10" i="32" s="1"/>
  <c r="J31" i="61"/>
  <c r="G7" i="73"/>
  <c r="K11" i="73"/>
  <c r="G10" i="73"/>
  <c r="I10" i="73" s="1"/>
  <c r="H33" i="12"/>
  <c r="M9" i="33"/>
  <c r="AA9" i="33"/>
  <c r="I9" i="33"/>
  <c r="I41" i="61"/>
  <c r="I46" i="61" s="1"/>
  <c r="G33" i="12"/>
  <c r="H63" i="58"/>
  <c r="L27" i="41" s="1"/>
  <c r="W71" i="63"/>
  <c r="H6" i="63"/>
  <c r="J9" i="63"/>
  <c r="K9" i="63" s="1"/>
  <c r="F22" i="63"/>
  <c r="I30" i="63" s="1"/>
  <c r="A12" i="63"/>
  <c r="C12" i="63"/>
  <c r="K6" i="63"/>
  <c r="H11" i="63"/>
  <c r="I54" i="63"/>
  <c r="D57" i="63"/>
  <c r="F57" i="63"/>
  <c r="J58" i="63" s="1"/>
  <c r="D67" i="63"/>
  <c r="D62" i="63"/>
  <c r="G54" i="63"/>
  <c r="H54" i="63" s="1"/>
  <c r="J54" i="63"/>
  <c r="K54" i="63" s="1"/>
  <c r="F67" i="63"/>
  <c r="I75" i="63" s="1"/>
  <c r="A57" i="63"/>
  <c r="H51" i="63"/>
  <c r="I51" i="63"/>
  <c r="J51" i="63" s="1"/>
  <c r="K51" i="63"/>
  <c r="B57" i="63"/>
  <c r="C67" i="63"/>
  <c r="G67" i="63" s="1"/>
  <c r="H70" i="63"/>
  <c r="J70" i="63" s="1"/>
  <c r="J71" i="63" s="1"/>
  <c r="B90" i="63" s="1"/>
  <c r="F62" i="63"/>
  <c r="S9" i="75"/>
  <c r="R13" i="75"/>
  <c r="J13" i="75"/>
  <c r="S17" i="75"/>
  <c r="M17" i="75"/>
  <c r="P17" i="75" s="1"/>
  <c r="E21" i="75"/>
  <c r="T10" i="75"/>
  <c r="I14" i="75"/>
  <c r="Q14" i="75" s="1"/>
  <c r="L14" i="75"/>
  <c r="T14" i="75"/>
  <c r="I18" i="75"/>
  <c r="Q18" i="75" s="1"/>
  <c r="L18" i="75"/>
  <c r="T18" i="75"/>
  <c r="I16" i="75"/>
  <c r="Q16" i="75" s="1"/>
  <c r="T16" i="75"/>
  <c r="L16" i="75"/>
  <c r="L13" i="75"/>
  <c r="T13" i="75"/>
  <c r="I17" i="75"/>
  <c r="L17" i="75"/>
  <c r="T17" i="75"/>
  <c r="L15" i="75"/>
  <c r="L23" i="75" s="1"/>
  <c r="AK22" i="75"/>
  <c r="AK20" i="75"/>
  <c r="AD81" i="75"/>
  <c r="AK21" i="75"/>
  <c r="AK19" i="75"/>
  <c r="M10" i="75"/>
  <c r="P10" i="75" s="1"/>
  <c r="M14" i="75"/>
  <c r="P14" i="75" s="1"/>
  <c r="S13" i="75"/>
  <c r="M13" i="75"/>
  <c r="P13" i="75" s="1"/>
  <c r="S15" i="75"/>
  <c r="S23" i="75" s="1"/>
  <c r="M15" i="75"/>
  <c r="M23" i="75" s="1"/>
  <c r="R18" i="75"/>
  <c r="Q17" i="75"/>
  <c r="S18" i="75"/>
  <c r="J18" i="75"/>
  <c r="T15" i="75"/>
  <c r="T23" i="75" s="1"/>
  <c r="I15" i="75"/>
  <c r="I23" i="75" s="1"/>
  <c r="L10" i="75"/>
  <c r="T9" i="75"/>
  <c r="L9" i="75"/>
  <c r="I9" i="75"/>
  <c r="Q9" i="75" s="1"/>
  <c r="T12" i="75"/>
  <c r="L12" i="75"/>
  <c r="I12" i="75"/>
  <c r="Q12" i="75" s="1"/>
  <c r="L11" i="75"/>
  <c r="L22" i="75" s="1"/>
  <c r="T11" i="75"/>
  <c r="T22" i="75" s="1"/>
  <c r="J11" i="75"/>
  <c r="J22" i="75" s="1"/>
  <c r="S11" i="75"/>
  <c r="S22" i="75" s="1"/>
  <c r="R10" i="75"/>
  <c r="K11" i="75"/>
  <c r="K22" i="75" s="1"/>
  <c r="M11" i="75"/>
  <c r="M22" i="75" s="1"/>
  <c r="R9" i="75"/>
  <c r="M9" i="75"/>
  <c r="P9" i="75" s="1"/>
  <c r="K9" i="75"/>
  <c r="R14" i="75"/>
  <c r="R12" i="75"/>
  <c r="M12" i="75"/>
  <c r="P12" i="75" s="1"/>
  <c r="K12" i="75"/>
  <c r="S14" i="75"/>
  <c r="J14" i="75"/>
  <c r="I13" i="75"/>
  <c r="Q13" i="75" s="1"/>
  <c r="I10" i="75"/>
  <c r="AJ71" i="75"/>
  <c r="S8" i="75"/>
  <c r="R8" i="75"/>
  <c r="M8" i="75"/>
  <c r="P8" i="75" s="1"/>
  <c r="K8" i="75"/>
  <c r="F21" i="75"/>
  <c r="L7" i="75"/>
  <c r="L21" i="75"/>
  <c r="T7" i="75"/>
  <c r="T21" i="75" s="1"/>
  <c r="K7" i="75"/>
  <c r="K21" i="75" s="1"/>
  <c r="M7" i="75"/>
  <c r="M21" i="75" s="1"/>
  <c r="R7" i="75"/>
  <c r="R21" i="75" s="1"/>
  <c r="J7" i="75"/>
  <c r="J21" i="75" s="1"/>
  <c r="Q10" i="75"/>
  <c r="I7" i="75"/>
  <c r="Q7" i="75" s="1"/>
  <c r="Q21" i="75" s="1"/>
  <c r="I8" i="75"/>
  <c r="Q8" i="75" s="1"/>
  <c r="T8" i="75"/>
  <c r="L8" i="75"/>
  <c r="I21" i="75"/>
  <c r="U13" i="75" l="1"/>
  <c r="I6" i="63"/>
  <c r="J6" i="63" s="1"/>
  <c r="BB43" i="42"/>
  <c r="BB42" i="42"/>
  <c r="BB44" i="42"/>
  <c r="BG22" i="42"/>
  <c r="BG25" i="42" s="1"/>
  <c r="BF25" i="42"/>
  <c r="N26" i="12"/>
  <c r="BG13" i="42"/>
  <c r="H18" i="73" s="1"/>
  <c r="I18" i="73" s="1"/>
  <c r="S10" i="75"/>
  <c r="K10" i="75"/>
  <c r="Q15" i="75"/>
  <c r="Q23" i="75" s="1"/>
  <c r="K10" i="73"/>
  <c r="A38" i="63"/>
  <c r="C38" i="63" s="1"/>
  <c r="I39" i="63" s="1"/>
  <c r="AA86" i="42"/>
  <c r="G84" i="42"/>
  <c r="I84" i="42" s="1"/>
  <c r="A41" i="58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R81" i="63"/>
  <c r="F31" i="73"/>
  <c r="F33" i="73"/>
  <c r="G33" i="73" s="1"/>
  <c r="F44" i="74" s="1"/>
  <c r="D23" i="73"/>
  <c r="B18" i="73"/>
  <c r="D18" i="73"/>
  <c r="AB9" i="33"/>
  <c r="AE9" i="33"/>
  <c r="V8" i="33"/>
  <c r="R9" i="33"/>
  <c r="AF9" i="33"/>
  <c r="Q9" i="33"/>
  <c r="A9" i="33"/>
  <c r="E9" i="33" s="1"/>
  <c r="F90" i="41"/>
  <c r="F99" i="41"/>
  <c r="F81" i="41"/>
  <c r="G155" i="43"/>
  <c r="G145" i="43"/>
  <c r="D9" i="34"/>
  <c r="D12" i="34" s="1"/>
  <c r="D15" i="34" s="1"/>
  <c r="D21" i="34" s="1"/>
  <c r="D24" i="34" s="1"/>
  <c r="D27" i="34" s="1"/>
  <c r="D30" i="34" s="1"/>
  <c r="D33" i="34" s="1"/>
  <c r="D36" i="34" s="1"/>
  <c r="D39" i="34" s="1"/>
  <c r="D42" i="34"/>
  <c r="A19" i="43"/>
  <c r="A20" i="43" s="1"/>
  <c r="A21" i="43" s="1"/>
  <c r="H3" i="70"/>
  <c r="J5" i="11" s="1"/>
  <c r="J5" i="74" s="1"/>
  <c r="L23" i="43"/>
  <c r="L24" i="43" s="1"/>
  <c r="L25" i="43" s="1"/>
  <c r="L26" i="43" s="1"/>
  <c r="L27" i="43" s="1"/>
  <c r="L19" i="43"/>
  <c r="D7" i="75"/>
  <c r="G7" i="75" s="1"/>
  <c r="N109" i="43"/>
  <c r="H123" i="43"/>
  <c r="G57" i="43"/>
  <c r="N57" i="43" s="1"/>
  <c r="H68" i="43"/>
  <c r="H80" i="43" s="1"/>
  <c r="K93" i="43" s="1"/>
  <c r="K104" i="43" s="1"/>
  <c r="D8" i="75"/>
  <c r="G8" i="75" s="1"/>
  <c r="H17" i="75"/>
  <c r="D15" i="75"/>
  <c r="D23" i="75" s="1"/>
  <c r="D14" i="75"/>
  <c r="G14" i="75" s="1"/>
  <c r="H93" i="43"/>
  <c r="H111" i="41"/>
  <c r="H123" i="41" s="1"/>
  <c r="H135" i="41" s="1"/>
  <c r="H147" i="41" s="1"/>
  <c r="H159" i="41" s="1"/>
  <c r="O23" i="42"/>
  <c r="O25" i="42"/>
  <c r="O29" i="42"/>
  <c r="O33" i="42"/>
  <c r="O37" i="42"/>
  <c r="O26" i="42"/>
  <c r="O30" i="42"/>
  <c r="O34" i="42"/>
  <c r="O27" i="42"/>
  <c r="O31" i="42"/>
  <c r="O35" i="42"/>
  <c r="O24" i="42"/>
  <c r="O28" i="42"/>
  <c r="O32" i="42"/>
  <c r="O36" i="42"/>
  <c r="H24" i="43"/>
  <c r="G54" i="41"/>
  <c r="N54" i="41" s="1"/>
  <c r="H127" i="41"/>
  <c r="H139" i="41" s="1"/>
  <c r="H151" i="41" s="1"/>
  <c r="H163" i="41" s="1"/>
  <c r="F52" i="64"/>
  <c r="G52" i="64" s="1"/>
  <c r="H52" i="64" s="1"/>
  <c r="F50" i="64"/>
  <c r="G50" i="64" s="1"/>
  <c r="H50" i="64" s="1"/>
  <c r="F48" i="64"/>
  <c r="G48" i="64" s="1"/>
  <c r="H48" i="64" s="1"/>
  <c r="F29" i="64"/>
  <c r="G29" i="64" s="1"/>
  <c r="H29" i="64" s="1"/>
  <c r="F27" i="64"/>
  <c r="G27" i="64" s="1"/>
  <c r="H27" i="64" s="1"/>
  <c r="F56" i="64"/>
  <c r="G56" i="64" s="1"/>
  <c r="H56" i="64" s="1"/>
  <c r="F54" i="64"/>
  <c r="G54" i="64" s="1"/>
  <c r="H54" i="64" s="1"/>
  <c r="F31" i="64"/>
  <c r="G31" i="64" s="1"/>
  <c r="H31" i="64" s="1"/>
  <c r="F33" i="64"/>
  <c r="G33" i="64" s="1"/>
  <c r="H33" i="64" s="1"/>
  <c r="F35" i="64"/>
  <c r="G35" i="64" s="1"/>
  <c r="H35" i="64" s="1"/>
  <c r="G16" i="64"/>
  <c r="H16" i="64" s="1"/>
  <c r="F10" i="64"/>
  <c r="G10" i="64" s="1"/>
  <c r="H10" i="64" s="1"/>
  <c r="F12" i="64"/>
  <c r="G12" i="64" s="1"/>
  <c r="H12" i="64" s="1"/>
  <c r="F8" i="64"/>
  <c r="G8" i="64" s="1"/>
  <c r="H8" i="64" s="1"/>
  <c r="F6" i="64"/>
  <c r="G6" i="64" s="1"/>
  <c r="H6" i="64" s="1"/>
  <c r="F14" i="64"/>
  <c r="G14" i="64" s="1"/>
  <c r="H14" i="64" s="1"/>
  <c r="H64" i="58"/>
  <c r="L28" i="41" s="1"/>
  <c r="I67" i="61"/>
  <c r="C19" i="71"/>
  <c r="BB49" i="42"/>
  <c r="BB50" i="42"/>
  <c r="BC50" i="42" s="1"/>
  <c r="BB48" i="42"/>
  <c r="BC48" i="42" s="1"/>
  <c r="BC43" i="42"/>
  <c r="BC49" i="42"/>
  <c r="BC42" i="42"/>
  <c r="BC44" i="42"/>
  <c r="E13" i="73"/>
  <c r="G9" i="73"/>
  <c r="J8" i="73"/>
  <c r="G8" i="73"/>
  <c r="H8" i="73" s="1"/>
  <c r="I7" i="73"/>
  <c r="B62" i="74"/>
  <c r="T6" i="42"/>
  <c r="T7" i="42" s="1"/>
  <c r="T8" i="42" s="1"/>
  <c r="T9" i="42" s="1"/>
  <c r="T10" i="42" s="1"/>
  <c r="T11" i="42" s="1"/>
  <c r="T12" i="42" s="1"/>
  <c r="T13" i="42" s="1"/>
  <c r="T14" i="42"/>
  <c r="C7" i="58"/>
  <c r="G83" i="74" s="1"/>
  <c r="G81" i="42"/>
  <c r="I81" i="42" s="1"/>
  <c r="AA83" i="42"/>
  <c r="F25" i="42" s="1"/>
  <c r="A31" i="42"/>
  <c r="A32" i="42" s="1"/>
  <c r="A33" i="42" s="1"/>
  <c r="A34" i="42" s="1"/>
  <c r="F112" i="41"/>
  <c r="F115" i="41" s="1"/>
  <c r="N115" i="41" s="1"/>
  <c r="AA89" i="42"/>
  <c r="A12" i="42"/>
  <c r="F75" i="41" s="1"/>
  <c r="B97" i="41"/>
  <c r="F91" i="41"/>
  <c r="B88" i="41"/>
  <c r="N94" i="41"/>
  <c r="F66" i="41"/>
  <c r="F82" i="41"/>
  <c r="B79" i="41"/>
  <c r="C118" i="41"/>
  <c r="N85" i="41"/>
  <c r="F93" i="41"/>
  <c r="F101" i="41"/>
  <c r="F65" i="41"/>
  <c r="F84" i="41"/>
  <c r="F92" i="41"/>
  <c r="F100" i="41"/>
  <c r="F64" i="41"/>
  <c r="C117" i="41"/>
  <c r="B62" i="41"/>
  <c r="N103" i="41"/>
  <c r="N67" i="41"/>
  <c r="F83" i="41"/>
  <c r="B107" i="41"/>
  <c r="F102" i="41"/>
  <c r="F74" i="41"/>
  <c r="AA80" i="42"/>
  <c r="O66" i="42"/>
  <c r="A12" i="34"/>
  <c r="A15" i="34" s="1"/>
  <c r="G135" i="43"/>
  <c r="AF10" i="33"/>
  <c r="I10" i="33"/>
  <c r="I72" i="61"/>
  <c r="E85" i="61"/>
  <c r="E92" i="61"/>
  <c r="E93" i="61"/>
  <c r="E90" i="61"/>
  <c r="E94" i="61"/>
  <c r="E91" i="61"/>
  <c r="AH10" i="33"/>
  <c r="AA8" i="33"/>
  <c r="J85" i="61"/>
  <c r="J45" i="61"/>
  <c r="D7" i="33"/>
  <c r="F63" i="43"/>
  <c r="Q8" i="33"/>
  <c r="I8" i="33"/>
  <c r="D12" i="75"/>
  <c r="D21" i="75" s="1"/>
  <c r="AE8" i="33"/>
  <c r="A5" i="33"/>
  <c r="J30" i="61"/>
  <c r="B25" i="41"/>
  <c r="B35" i="72"/>
  <c r="B41" i="72" s="1"/>
  <c r="B47" i="72" s="1"/>
  <c r="B57" i="72" s="1"/>
  <c r="B67" i="72" s="1"/>
  <c r="B77" i="72" s="1"/>
  <c r="B87" i="72" s="1"/>
  <c r="B97" i="72" s="1"/>
  <c r="B107" i="72" s="1"/>
  <c r="B117" i="72" s="1"/>
  <c r="B127" i="72" s="1"/>
  <c r="B137" i="72" s="1"/>
  <c r="B147" i="72" s="1"/>
  <c r="H6" i="33"/>
  <c r="V6" i="33"/>
  <c r="AB6" i="33" s="1"/>
  <c r="AF6" i="33"/>
  <c r="AA6" i="33"/>
  <c r="I6" i="33"/>
  <c r="M6" i="33"/>
  <c r="X6" i="33"/>
  <c r="I68" i="61"/>
  <c r="D73" i="61"/>
  <c r="H7" i="75"/>
  <c r="D16" i="75"/>
  <c r="H16" i="75" s="1"/>
  <c r="D13" i="75"/>
  <c r="D10" i="75"/>
  <c r="G10" i="75" s="1"/>
  <c r="D9" i="75"/>
  <c r="D18" i="75"/>
  <c r="D11" i="75"/>
  <c r="D22" i="75" s="1"/>
  <c r="H18" i="43"/>
  <c r="P20" i="42"/>
  <c r="H17" i="43"/>
  <c r="H14" i="43"/>
  <c r="H15" i="43"/>
  <c r="E72" i="63"/>
  <c r="H67" i="63"/>
  <c r="J72" i="63" s="1"/>
  <c r="U8" i="75"/>
  <c r="U14" i="75"/>
  <c r="K7" i="73"/>
  <c r="R8" i="33"/>
  <c r="AB8" i="33"/>
  <c r="AF8" i="33"/>
  <c r="D35" i="63"/>
  <c r="C22" i="63"/>
  <c r="G22" i="63" s="1"/>
  <c r="E27" i="63" s="1"/>
  <c r="E9" i="63"/>
  <c r="J14" i="63" s="1"/>
  <c r="F110" i="43"/>
  <c r="N110" i="43" s="1"/>
  <c r="H96" i="43"/>
  <c r="H107" i="43"/>
  <c r="K16" i="75"/>
  <c r="U10" i="75"/>
  <c r="E13" i="63"/>
  <c r="D22" i="63"/>
  <c r="H22" i="63" s="1"/>
  <c r="J27" i="63" s="1"/>
  <c r="F45" i="63" s="1"/>
  <c r="K104" i="61"/>
  <c r="J119" i="61"/>
  <c r="R11" i="75"/>
  <c r="R22" i="75" s="1"/>
  <c r="J15" i="75"/>
  <c r="J23" i="75" s="1"/>
  <c r="M18" i="75"/>
  <c r="P18" i="75" s="1"/>
  <c r="R16" i="75"/>
  <c r="U9" i="75"/>
  <c r="E62" i="63"/>
  <c r="E63" i="63" s="1"/>
  <c r="F17" i="63"/>
  <c r="D9" i="63"/>
  <c r="E14" i="63" s="1"/>
  <c r="A8" i="33"/>
  <c r="E8" i="33" s="1"/>
  <c r="J43" i="61"/>
  <c r="G12" i="73"/>
  <c r="AJ81" i="75"/>
  <c r="K17" i="75"/>
  <c r="U17" i="75" s="1"/>
  <c r="I5" i="33"/>
  <c r="AH5" i="33"/>
  <c r="AA5" i="33"/>
  <c r="AF5" i="33" s="1"/>
  <c r="AE5" i="33"/>
  <c r="H5" i="33"/>
  <c r="O5" i="33" s="1"/>
  <c r="B27" i="41"/>
  <c r="B64" i="58"/>
  <c r="B28" i="41" s="1"/>
  <c r="C5" i="32"/>
  <c r="B10" i="71" s="1"/>
  <c r="H12" i="43"/>
  <c r="H26" i="43"/>
  <c r="BO12" i="15"/>
  <c r="BQ12" i="15" s="1"/>
  <c r="BS12" i="15" s="1"/>
  <c r="BO20" i="15"/>
  <c r="BQ20" i="15" s="1"/>
  <c r="BS20" i="15" s="1"/>
  <c r="J7" i="73"/>
  <c r="H9" i="73"/>
  <c r="L12" i="42"/>
  <c r="L18" i="42"/>
  <c r="K84" i="42"/>
  <c r="M84" i="42" s="1"/>
  <c r="O84" i="42" s="1"/>
  <c r="AA84" i="42" s="1"/>
  <c r="E18" i="73"/>
  <c r="F26" i="73" s="1"/>
  <c r="G26" i="73" s="1"/>
  <c r="H26" i="73" s="1"/>
  <c r="F46" i="74" s="1"/>
  <c r="H65" i="42"/>
  <c r="I65" i="42" s="1"/>
  <c r="G24" i="42"/>
  <c r="F26" i="42"/>
  <c r="K81" i="42"/>
  <c r="M81" i="42" s="1"/>
  <c r="O81" i="42" s="1"/>
  <c r="AA81" i="42" s="1"/>
  <c r="H62" i="42"/>
  <c r="I62" i="42" s="1"/>
  <c r="Q68" i="42"/>
  <c r="G66" i="42"/>
  <c r="A1" i="32"/>
  <c r="O71" i="42"/>
  <c r="O67" i="42"/>
  <c r="Q69" i="42"/>
  <c r="Q65" i="42"/>
  <c r="G69" i="42"/>
  <c r="J87" i="42"/>
  <c r="G87" i="42" s="1"/>
  <c r="I87" i="42" s="1"/>
  <c r="Q64" i="42"/>
  <c r="G33" i="42"/>
  <c r="Q70" i="42"/>
  <c r="E23" i="73"/>
  <c r="F28" i="73" s="1"/>
  <c r="G28" i="73" s="1"/>
  <c r="F49" i="74" s="1"/>
  <c r="F54" i="74" s="1"/>
  <c r="L54" i="74" s="1"/>
  <c r="G63" i="42"/>
  <c r="H71" i="42"/>
  <c r="I71" i="42" s="1"/>
  <c r="J90" i="42"/>
  <c r="G90" i="42" s="1"/>
  <c r="I90" i="42" s="1"/>
  <c r="L14" i="42"/>
  <c r="D96" i="41"/>
  <c r="C139" i="12"/>
  <c r="F27" i="42"/>
  <c r="F23" i="42"/>
  <c r="Q72" i="42"/>
  <c r="Q62" i="42"/>
  <c r="S62" i="42" s="1"/>
  <c r="E33" i="42"/>
  <c r="K22" i="32"/>
  <c r="L16" i="42"/>
  <c r="C5" i="58"/>
  <c r="D8" i="11" s="1"/>
  <c r="C138" i="12"/>
  <c r="D105" i="41"/>
  <c r="H22" i="61"/>
  <c r="O10" i="33"/>
  <c r="Q10" i="33"/>
  <c r="AE10" i="33"/>
  <c r="X10" i="33"/>
  <c r="V10" i="33"/>
  <c r="AA10" i="33"/>
  <c r="M10" i="33"/>
  <c r="R10" i="33"/>
  <c r="AB10" i="33"/>
  <c r="A10" i="33"/>
  <c r="E10" i="33" s="1"/>
  <c r="A6" i="33"/>
  <c r="E6" i="33" s="1"/>
  <c r="H20" i="61"/>
  <c r="K17" i="74"/>
  <c r="H43" i="58"/>
  <c r="L17" i="41"/>
  <c r="D99" i="61"/>
  <c r="C7" i="41"/>
  <c r="H7" i="61"/>
  <c r="H13" i="61" s="1"/>
  <c r="E13" i="61"/>
  <c r="H18" i="61"/>
  <c r="E23" i="61"/>
  <c r="K20" i="70"/>
  <c r="H6" i="58"/>
  <c r="I9" i="74" s="1"/>
  <c r="F5" i="58"/>
  <c r="G8" i="74" s="1"/>
  <c r="V20" i="11"/>
  <c r="H38" i="58"/>
  <c r="V17" i="11" s="1"/>
  <c r="H34" i="61"/>
  <c r="I41" i="12"/>
  <c r="J41" i="12" s="1"/>
  <c r="E34" i="61"/>
  <c r="D6" i="74"/>
  <c r="D6" i="11"/>
  <c r="C4" i="32" s="1"/>
  <c r="BO19" i="15"/>
  <c r="BQ19" i="15" s="1"/>
  <c r="BS19" i="15" s="1"/>
  <c r="BO13" i="15"/>
  <c r="BQ13" i="15" s="1"/>
  <c r="BS13" i="15" s="1"/>
  <c r="N99" i="43"/>
  <c r="H23" i="43"/>
  <c r="H66" i="43" s="1"/>
  <c r="H78" i="43" s="1"/>
  <c r="BO10" i="15"/>
  <c r="BQ10" i="15" s="1"/>
  <c r="BS10" i="15" s="1"/>
  <c r="M38" i="74"/>
  <c r="M39" i="74" s="1"/>
  <c r="I43" i="74" s="1"/>
  <c r="I67" i="74" s="1"/>
  <c r="BO15" i="15"/>
  <c r="BQ15" i="15" s="1"/>
  <c r="BS15" i="15" s="1"/>
  <c r="BO17" i="15"/>
  <c r="BQ17" i="15" s="1"/>
  <c r="BS17" i="15" s="1"/>
  <c r="BO16" i="15"/>
  <c r="BQ16" i="15" s="1"/>
  <c r="BS16" i="15" s="1"/>
  <c r="BO11" i="15"/>
  <c r="BQ11" i="15" s="1"/>
  <c r="BS11" i="15" s="1"/>
  <c r="H25" i="43"/>
  <c r="BO18" i="15"/>
  <c r="BQ18" i="15" s="1"/>
  <c r="BS18" i="15" s="1"/>
  <c r="N42" i="41"/>
  <c r="BO14" i="15"/>
  <c r="BQ14" i="15" s="1"/>
  <c r="BS14" i="15" s="1"/>
  <c r="H19" i="11"/>
  <c r="M51" i="11" s="1"/>
  <c r="H18" i="11"/>
  <c r="M28" i="11" s="1"/>
  <c r="P20" i="11"/>
  <c r="G128" i="11"/>
  <c r="I128" i="11" s="1"/>
  <c r="P63" i="42"/>
  <c r="P64" i="42" s="1"/>
  <c r="H7" i="73"/>
  <c r="H12" i="73"/>
  <c r="O63" i="42"/>
  <c r="E41" i="74"/>
  <c r="H10" i="73"/>
  <c r="H11" i="73"/>
  <c r="J18" i="73"/>
  <c r="F27" i="73" s="1"/>
  <c r="F65" i="74"/>
  <c r="L15" i="42"/>
  <c r="H68" i="42"/>
  <c r="I68" i="42" s="1"/>
  <c r="E28" i="42"/>
  <c r="G72" i="42"/>
  <c r="F24" i="42"/>
  <c r="P24" i="42" s="1"/>
  <c r="I41" i="74"/>
  <c r="F63" i="74"/>
  <c r="Q61" i="42"/>
  <c r="S61" i="42" s="1"/>
  <c r="G28" i="42"/>
  <c r="M7" i="11"/>
  <c r="N2" i="12" s="1"/>
  <c r="N59" i="12" s="1"/>
  <c r="N116" i="12" s="1"/>
  <c r="I66" i="66"/>
  <c r="BF2" i="15"/>
  <c r="K5" i="41"/>
  <c r="H66" i="66"/>
  <c r="C22" i="71"/>
  <c r="F153" i="11"/>
  <c r="F169" i="41" s="1"/>
  <c r="F239" i="43" s="1"/>
  <c r="I44" i="12"/>
  <c r="J44" i="12" s="1"/>
  <c r="I43" i="12"/>
  <c r="J43" i="12" s="1"/>
  <c r="I42" i="12"/>
  <c r="J42" i="12" s="1"/>
  <c r="AE6" i="33"/>
  <c r="G127" i="11"/>
  <c r="B12" i="58"/>
  <c r="B13" i="58" s="1"/>
  <c r="B14" i="58" s="1"/>
  <c r="H31" i="73"/>
  <c r="I31" i="73" s="1"/>
  <c r="J31" i="73" s="1"/>
  <c r="G29" i="73"/>
  <c r="G31" i="73"/>
  <c r="N56" i="41"/>
  <c r="N55" i="41"/>
  <c r="N57" i="41"/>
  <c r="N50" i="41"/>
  <c r="H13" i="74"/>
  <c r="H14" i="74"/>
  <c r="H13" i="41"/>
  <c r="G10" i="61"/>
  <c r="G9" i="61"/>
  <c r="G8" i="61"/>
  <c r="G7" i="61"/>
  <c r="M13" i="61"/>
  <c r="C6" i="58"/>
  <c r="C9" i="74" s="1"/>
  <c r="G66" i="66"/>
  <c r="H13" i="43"/>
  <c r="I33" i="12"/>
  <c r="J33" i="12" s="1"/>
  <c r="L6" i="58"/>
  <c r="D26" i="32"/>
  <c r="F8" i="72"/>
  <c r="I11" i="70"/>
  <c r="M5" i="33"/>
  <c r="E5" i="33"/>
  <c r="R5" i="33"/>
  <c r="J46" i="61"/>
  <c r="G34" i="61"/>
  <c r="J28" i="61"/>
  <c r="G23" i="61"/>
  <c r="J18" i="61"/>
  <c r="J23" i="61" s="1"/>
  <c r="E15" i="12" s="1"/>
  <c r="O7" i="34" s="1"/>
  <c r="E16" i="34" s="1"/>
  <c r="B12" i="43"/>
  <c r="B16" i="43" s="1"/>
  <c r="B17" i="43" s="1"/>
  <c r="B18" i="43" s="1"/>
  <c r="B16" i="41"/>
  <c r="B17" i="41" s="1"/>
  <c r="B18" i="41" s="1"/>
  <c r="B19" i="41" s="1"/>
  <c r="B20" i="41" s="1"/>
  <c r="B21" i="41" s="1"/>
  <c r="B22" i="41" s="1"/>
  <c r="B23" i="41" s="1"/>
  <c r="J66" i="66"/>
  <c r="F114" i="43"/>
  <c r="G45" i="63"/>
  <c r="F115" i="43" s="1"/>
  <c r="P7" i="75"/>
  <c r="P11" i="75"/>
  <c r="P22" i="75" s="1"/>
  <c r="P15" i="75"/>
  <c r="P23" i="75" s="1"/>
  <c r="C57" i="63"/>
  <c r="E58" i="63" s="1"/>
  <c r="H124" i="43"/>
  <c r="H134" i="43" s="1"/>
  <c r="H144" i="43" s="1"/>
  <c r="H154" i="43" s="1"/>
  <c r="H174" i="43" s="1"/>
  <c r="H194" i="43" s="1"/>
  <c r="H214" i="43" s="1"/>
  <c r="K14" i="74"/>
  <c r="L15" i="41"/>
  <c r="L15" i="43" s="1"/>
  <c r="G35" i="63"/>
  <c r="H35" i="63" s="1"/>
  <c r="I41" i="63" s="1"/>
  <c r="E30" i="63"/>
  <c r="B25" i="63"/>
  <c r="C25" i="63" s="1"/>
  <c r="I22" i="63"/>
  <c r="K22" i="63" s="1"/>
  <c r="C30" i="63"/>
  <c r="K61" i="42"/>
  <c r="J62" i="42"/>
  <c r="A35" i="42"/>
  <c r="A36" i="42" s="1"/>
  <c r="AH6" i="33"/>
  <c r="R6" i="33"/>
  <c r="H17" i="63"/>
  <c r="D17" i="63"/>
  <c r="E18" i="63" s="1"/>
  <c r="J18" i="63"/>
  <c r="E25" i="63"/>
  <c r="F25" i="63" s="1"/>
  <c r="G25" i="63" s="1"/>
  <c r="E26" i="63" s="1"/>
  <c r="C17" i="63"/>
  <c r="E19" i="63" s="1"/>
  <c r="B26" i="41"/>
  <c r="C54" i="63"/>
  <c r="F7" i="33"/>
  <c r="U7" i="33"/>
  <c r="U6" i="33"/>
  <c r="L6" i="33"/>
  <c r="F6" i="33"/>
  <c r="U8" i="33"/>
  <c r="W8" i="33" s="1"/>
  <c r="L8" i="33"/>
  <c r="N8" i="33" s="1"/>
  <c r="F8" i="33"/>
  <c r="L9" i="33"/>
  <c r="N9" i="33" s="1"/>
  <c r="F9" i="33"/>
  <c r="U9" i="33"/>
  <c r="W9" i="33" s="1"/>
  <c r="U5" i="33"/>
  <c r="L5" i="33"/>
  <c r="F5" i="33"/>
  <c r="U10" i="33"/>
  <c r="L10" i="33"/>
  <c r="F10" i="33"/>
  <c r="F22" i="75"/>
  <c r="I11" i="75"/>
  <c r="S12" i="75"/>
  <c r="U12" i="75" s="1"/>
  <c r="K15" i="75"/>
  <c r="M16" i="75"/>
  <c r="AG9" i="33" l="1"/>
  <c r="F65" i="43"/>
  <c r="F66" i="43" s="1"/>
  <c r="F67" i="43"/>
  <c r="F68" i="43" s="1"/>
  <c r="I26" i="73"/>
  <c r="I30" i="73" s="1"/>
  <c r="S21" i="75"/>
  <c r="F109" i="41"/>
  <c r="AG10" i="33"/>
  <c r="E21" i="12"/>
  <c r="H23" i="42"/>
  <c r="M23" i="42" s="1"/>
  <c r="P23" i="42"/>
  <c r="F72" i="41"/>
  <c r="A22" i="43"/>
  <c r="A23" i="43" s="1"/>
  <c r="A24" i="43" s="1"/>
  <c r="A25" i="43" s="1"/>
  <c r="A26" i="43" s="1"/>
  <c r="A27" i="43" s="1"/>
  <c r="A28" i="43" s="1"/>
  <c r="H202" i="43"/>
  <c r="N202" i="43" s="1"/>
  <c r="H222" i="43"/>
  <c r="N222" i="43" s="1"/>
  <c r="N214" i="43"/>
  <c r="N215" i="43" s="1"/>
  <c r="H148" i="12" s="1"/>
  <c r="H234" i="43"/>
  <c r="N234" i="43" s="1"/>
  <c r="N235" i="43" s="1"/>
  <c r="H149" i="12" s="1"/>
  <c r="H162" i="43"/>
  <c r="N162" i="43" s="1"/>
  <c r="H182" i="43"/>
  <c r="N182" i="43" s="1"/>
  <c r="N174" i="43"/>
  <c r="N194" i="43"/>
  <c r="N195" i="43" s="1"/>
  <c r="H147" i="12" s="1"/>
  <c r="L20" i="43"/>
  <c r="B23" i="43"/>
  <c r="B24" i="43" s="1"/>
  <c r="B25" i="43" s="1"/>
  <c r="B26" i="43" s="1"/>
  <c r="B27" i="43" s="1"/>
  <c r="B19" i="43"/>
  <c r="B20" i="43" s="1"/>
  <c r="B21" i="43" s="1"/>
  <c r="B22" i="43" s="1"/>
  <c r="N93" i="43"/>
  <c r="G55" i="43"/>
  <c r="N55" i="43" s="1"/>
  <c r="G54" i="43"/>
  <c r="N54" i="43" s="1"/>
  <c r="G56" i="43"/>
  <c r="N56" i="43" s="1"/>
  <c r="H15" i="75"/>
  <c r="H23" i="75" s="1"/>
  <c r="F148" i="43" s="1"/>
  <c r="F149" i="43" s="1"/>
  <c r="G16" i="75"/>
  <c r="G15" i="75"/>
  <c r="G23" i="75" s="1"/>
  <c r="F147" i="43" s="1"/>
  <c r="H8" i="75"/>
  <c r="H14" i="75"/>
  <c r="N68" i="43"/>
  <c r="F113" i="41"/>
  <c r="N113" i="41" s="1"/>
  <c r="G7" i="12"/>
  <c r="H65" i="74"/>
  <c r="J65" i="74" s="1"/>
  <c r="G27" i="73"/>
  <c r="H27" i="73" s="1"/>
  <c r="F47" i="74" s="1"/>
  <c r="F52" i="74" s="1"/>
  <c r="I9" i="73"/>
  <c r="K9" i="73"/>
  <c r="J13" i="73"/>
  <c r="I8" i="73"/>
  <c r="K8" i="73"/>
  <c r="G13" i="73"/>
  <c r="G32" i="73" s="1"/>
  <c r="F68" i="74" s="1"/>
  <c r="A13" i="42"/>
  <c r="A14" i="42" s="1"/>
  <c r="A15" i="42" s="1"/>
  <c r="B70" i="41"/>
  <c r="F136" i="41"/>
  <c r="F139" i="41" s="1"/>
  <c r="N139" i="41" s="1"/>
  <c r="F148" i="41"/>
  <c r="F151" i="41" s="1"/>
  <c r="N151" i="41" s="1"/>
  <c r="F160" i="41"/>
  <c r="F163" i="41" s="1"/>
  <c r="N163" i="41" s="1"/>
  <c r="D78" i="41"/>
  <c r="N76" i="41"/>
  <c r="F73" i="41"/>
  <c r="B1" i="73"/>
  <c r="A18" i="34"/>
  <c r="A21" i="34" s="1"/>
  <c r="A24" i="34" s="1"/>
  <c r="A27" i="34" s="1"/>
  <c r="A30" i="34" s="1"/>
  <c r="A33" i="34" s="1"/>
  <c r="A36" i="34" s="1"/>
  <c r="A39" i="34" s="1"/>
  <c r="A42" i="34" s="1"/>
  <c r="J34" i="61"/>
  <c r="E99" i="61"/>
  <c r="AB7" i="33"/>
  <c r="AA7" i="33"/>
  <c r="I7" i="33"/>
  <c r="M7" i="33"/>
  <c r="AE7" i="33"/>
  <c r="AF7" i="33"/>
  <c r="V7" i="33"/>
  <c r="AH7" i="33"/>
  <c r="AH11" i="33" s="1"/>
  <c r="F22" i="33" s="1"/>
  <c r="F79" i="43" s="1"/>
  <c r="N10" i="33"/>
  <c r="N6" i="33"/>
  <c r="L7" i="33"/>
  <c r="R7" i="33"/>
  <c r="E7" i="33"/>
  <c r="E11" i="33" s="1"/>
  <c r="F75" i="43" s="1"/>
  <c r="X7" i="33"/>
  <c r="H7" i="33"/>
  <c r="O7" i="33" s="1"/>
  <c r="I73" i="61"/>
  <c r="AG8" i="33"/>
  <c r="G12" i="75"/>
  <c r="G21" i="75" s="1"/>
  <c r="F127" i="43" s="1"/>
  <c r="H12" i="75"/>
  <c r="H21" i="75" s="1"/>
  <c r="F128" i="43" s="1"/>
  <c r="Q5" i="33"/>
  <c r="AG6" i="33"/>
  <c r="O6" i="33"/>
  <c r="O11" i="33" s="1"/>
  <c r="Q6" i="33"/>
  <c r="H11" i="75"/>
  <c r="H22" i="75" s="1"/>
  <c r="F138" i="43" s="1"/>
  <c r="G18" i="75"/>
  <c r="H18" i="75"/>
  <c r="G11" i="75"/>
  <c r="G22" i="75" s="1"/>
  <c r="F137" i="43" s="1"/>
  <c r="H10" i="75"/>
  <c r="H9" i="75"/>
  <c r="G9" i="75"/>
  <c r="G13" i="75"/>
  <c r="H13" i="75"/>
  <c r="B71" i="58"/>
  <c r="J4" i="64" s="1"/>
  <c r="I12" i="73"/>
  <c r="K12" i="73"/>
  <c r="U18" i="75"/>
  <c r="N5" i="33"/>
  <c r="C135" i="12"/>
  <c r="D69" i="41"/>
  <c r="F28" i="42"/>
  <c r="H63" i="74"/>
  <c r="H24" i="42"/>
  <c r="M24" i="42" s="1"/>
  <c r="G29" i="42"/>
  <c r="S63" i="42"/>
  <c r="C137" i="12"/>
  <c r="F33" i="42"/>
  <c r="F30" i="42"/>
  <c r="F29" i="42"/>
  <c r="P29" i="42" s="1"/>
  <c r="G152" i="11"/>
  <c r="F168" i="41" s="1"/>
  <c r="F238" i="43" s="1"/>
  <c r="J85" i="42"/>
  <c r="G85" i="42" s="1"/>
  <c r="I85" i="42" s="1"/>
  <c r="H66" i="42"/>
  <c r="I66" i="42" s="1"/>
  <c r="K87" i="42"/>
  <c r="M87" i="42" s="1"/>
  <c r="O87" i="42" s="1"/>
  <c r="AA87" i="42" s="1"/>
  <c r="H72" i="42"/>
  <c r="I72" i="42" s="1"/>
  <c r="J91" i="42"/>
  <c r="G91" i="42" s="1"/>
  <c r="I91" i="42" s="1"/>
  <c r="K90" i="42"/>
  <c r="M90" i="42" s="1"/>
  <c r="O90" i="42" s="1"/>
  <c r="AA90" i="42" s="1"/>
  <c r="H63" i="42"/>
  <c r="I63" i="42" s="1"/>
  <c r="J82" i="42"/>
  <c r="G82" i="42" s="1"/>
  <c r="I82" i="42" s="1"/>
  <c r="H69" i="42"/>
  <c r="I69" i="42" s="1"/>
  <c r="J88" i="42"/>
  <c r="G88" i="42" s="1"/>
  <c r="I88" i="42" s="1"/>
  <c r="C136" i="12"/>
  <c r="D87" i="41"/>
  <c r="J5" i="32"/>
  <c r="N2" i="75" s="1"/>
  <c r="C144" i="12"/>
  <c r="D8" i="74"/>
  <c r="C6" i="70"/>
  <c r="C6" i="32" s="1"/>
  <c r="C8" i="43" s="1"/>
  <c r="E4" i="72"/>
  <c r="H23" i="61"/>
  <c r="E28" i="12" s="1"/>
  <c r="E31" i="12" s="1"/>
  <c r="W10" i="33"/>
  <c r="N66" i="43"/>
  <c r="H44" i="58"/>
  <c r="K19" i="74"/>
  <c r="F36" i="61"/>
  <c r="G4" i="72"/>
  <c r="G8" i="11"/>
  <c r="F6" i="70" s="1"/>
  <c r="I9" i="11"/>
  <c r="J7" i="70" s="1"/>
  <c r="J60" i="12"/>
  <c r="J117" i="12" s="1"/>
  <c r="I35" i="12"/>
  <c r="A1" i="61"/>
  <c r="A48" i="61" s="1"/>
  <c r="A1" i="12"/>
  <c r="A58" i="12" s="1"/>
  <c r="A115" i="12" s="1"/>
  <c r="A15" i="71"/>
  <c r="C4" i="70"/>
  <c r="A1" i="63"/>
  <c r="A46" i="63" s="1"/>
  <c r="A1" i="75"/>
  <c r="C6" i="41"/>
  <c r="C6" i="43"/>
  <c r="K96" i="43"/>
  <c r="K107" i="43" s="1"/>
  <c r="H229" i="43" s="1"/>
  <c r="N229" i="43" s="1"/>
  <c r="N104" i="43"/>
  <c r="H115" i="43"/>
  <c r="N115" i="43" s="1"/>
  <c r="H139" i="43"/>
  <c r="H149" i="43"/>
  <c r="H129" i="43"/>
  <c r="J5" i="70"/>
  <c r="N59" i="41"/>
  <c r="H3" i="32"/>
  <c r="D6" i="77" s="1"/>
  <c r="G139" i="11"/>
  <c r="C147" i="11" s="1"/>
  <c r="T61" i="42"/>
  <c r="E24" i="42" s="1"/>
  <c r="D5" i="72"/>
  <c r="K5" i="43"/>
  <c r="C143" i="12"/>
  <c r="C145" i="12"/>
  <c r="H28" i="73"/>
  <c r="H13" i="73"/>
  <c r="F42" i="74" s="1"/>
  <c r="G25" i="42"/>
  <c r="P25" i="42" s="1"/>
  <c r="BW9" i="15"/>
  <c r="BW10" i="15" s="1"/>
  <c r="BW11" i="15" s="1"/>
  <c r="I127" i="11"/>
  <c r="G138" i="11"/>
  <c r="F71" i="74"/>
  <c r="F45" i="74"/>
  <c r="F48" i="74"/>
  <c r="H29" i="73"/>
  <c r="G13" i="61"/>
  <c r="C9" i="11"/>
  <c r="C7" i="32" s="1"/>
  <c r="M9" i="74"/>
  <c r="M9" i="11"/>
  <c r="X5" i="33"/>
  <c r="X11" i="33" s="1"/>
  <c r="F25" i="33"/>
  <c r="K23" i="75"/>
  <c r="U15" i="75"/>
  <c r="U23" i="75" s="1"/>
  <c r="F150" i="43" s="1"/>
  <c r="I22" i="75"/>
  <c r="Q11" i="75"/>
  <c r="Q22" i="75" s="1"/>
  <c r="F11" i="33"/>
  <c r="E54" i="63"/>
  <c r="J59" i="63" s="1"/>
  <c r="F90" i="63" s="1"/>
  <c r="G90" i="63" s="1"/>
  <c r="B67" i="63"/>
  <c r="C80" i="63"/>
  <c r="D54" i="63"/>
  <c r="E59" i="63" s="1"/>
  <c r="W6" i="33"/>
  <c r="H30" i="63"/>
  <c r="E31" i="63"/>
  <c r="F73" i="74"/>
  <c r="F75" i="74" s="1"/>
  <c r="P16" i="75"/>
  <c r="U16" i="75" s="1"/>
  <c r="P65" i="42"/>
  <c r="S64" i="42"/>
  <c r="A37" i="42"/>
  <c r="F124" i="41" s="1"/>
  <c r="F127" i="41" s="1"/>
  <c r="N127" i="41" s="1"/>
  <c r="V5" i="33"/>
  <c r="AB5" i="33" s="1"/>
  <c r="AG5" i="33" s="1"/>
  <c r="J63" i="42"/>
  <c r="K62" i="42"/>
  <c r="T62" i="42" s="1"/>
  <c r="E29" i="42" s="1"/>
  <c r="H38" i="63"/>
  <c r="I38" i="63" s="1"/>
  <c r="J31" i="63"/>
  <c r="A45" i="63" s="1"/>
  <c r="F116" i="43" s="1"/>
  <c r="F122" i="43" s="1"/>
  <c r="A41" i="63"/>
  <c r="C41" i="63" s="1"/>
  <c r="D30" i="63"/>
  <c r="E32" i="63" s="1"/>
  <c r="E45" i="63" s="1"/>
  <c r="F113" i="43" s="1"/>
  <c r="P21" i="75"/>
  <c r="U7" i="75"/>
  <c r="U21" i="75" s="1"/>
  <c r="F130" i="43" s="1"/>
  <c r="F124" i="43"/>
  <c r="N124" i="43" s="1"/>
  <c r="F55" i="74" l="1"/>
  <c r="F43" i="74"/>
  <c r="L43" i="74" s="1"/>
  <c r="E8" i="12"/>
  <c r="N6" i="34" s="1"/>
  <c r="F72" i="43"/>
  <c r="N72" i="43" s="1"/>
  <c r="F71" i="43"/>
  <c r="N71" i="43" s="1"/>
  <c r="N73" i="43" s="1"/>
  <c r="N74" i="43" s="1"/>
  <c r="H33" i="42"/>
  <c r="M33" i="42" s="1"/>
  <c r="P33" i="42"/>
  <c r="O6" i="34"/>
  <c r="N7" i="34" s="1"/>
  <c r="E15" i="34"/>
  <c r="E24" i="12"/>
  <c r="N18" i="34"/>
  <c r="O18" i="34" s="1"/>
  <c r="E18" i="34" s="1"/>
  <c r="H28" i="42"/>
  <c r="M28" i="42" s="1"/>
  <c r="P28" i="42"/>
  <c r="H189" i="43"/>
  <c r="N189" i="43" s="1"/>
  <c r="H209" i="43"/>
  <c r="N209" i="43" s="1"/>
  <c r="N107" i="43"/>
  <c r="H169" i="43"/>
  <c r="N169" i="43" s="1"/>
  <c r="N60" i="41"/>
  <c r="H112" i="41" s="1"/>
  <c r="H124" i="41" s="1"/>
  <c r="H136" i="41" s="1"/>
  <c r="L21" i="43"/>
  <c r="L22" i="43" s="1"/>
  <c r="N59" i="43"/>
  <c r="N60" i="43" s="1"/>
  <c r="H67" i="43" s="1"/>
  <c r="N67" i="43" s="1"/>
  <c r="N149" i="43"/>
  <c r="F154" i="43"/>
  <c r="N154" i="43" s="1"/>
  <c r="F72" i="74"/>
  <c r="F74" i="74" s="1"/>
  <c r="F53" i="74"/>
  <c r="L53" i="74" s="1"/>
  <c r="J63" i="74"/>
  <c r="L41" i="74"/>
  <c r="F51" i="74" s="1"/>
  <c r="K13" i="73"/>
  <c r="I13" i="73"/>
  <c r="J26" i="73"/>
  <c r="J30" i="73" s="1"/>
  <c r="A16" i="42"/>
  <c r="A17" i="42" s="1"/>
  <c r="A18" i="42" s="1"/>
  <c r="B119" i="41"/>
  <c r="B143" i="41"/>
  <c r="C153" i="41"/>
  <c r="C165" i="41"/>
  <c r="C129" i="41"/>
  <c r="B131" i="41"/>
  <c r="C141" i="41"/>
  <c r="B155" i="41"/>
  <c r="C154" i="41"/>
  <c r="K91" i="42"/>
  <c r="M91" i="42" s="1"/>
  <c r="O91" i="42" s="1"/>
  <c r="AA91" i="42" s="1"/>
  <c r="H25" i="42"/>
  <c r="M25" i="42" s="1"/>
  <c r="F110" i="41"/>
  <c r="G132" i="12"/>
  <c r="E58" i="34"/>
  <c r="I132" i="12"/>
  <c r="J132" i="12" s="1"/>
  <c r="H132" i="12"/>
  <c r="O20" i="72"/>
  <c r="H154" i="12"/>
  <c r="H158" i="12" s="1"/>
  <c r="N7" i="33"/>
  <c r="N11" i="33" s="1"/>
  <c r="AG7" i="33"/>
  <c r="AG11" i="33" s="1"/>
  <c r="Q7" i="33"/>
  <c r="W7" i="33" s="1"/>
  <c r="F134" i="43"/>
  <c r="N134" i="43" s="1"/>
  <c r="F129" i="43"/>
  <c r="N129" i="43" s="1"/>
  <c r="L23" i="61"/>
  <c r="F24" i="33"/>
  <c r="F80" i="43" s="1"/>
  <c r="N80" i="43" s="1"/>
  <c r="F144" i="43"/>
  <c r="N144" i="43" s="1"/>
  <c r="F139" i="43"/>
  <c r="N139" i="43" s="1"/>
  <c r="F50" i="74"/>
  <c r="L50" i="74" s="1"/>
  <c r="I20" i="42"/>
  <c r="N25" i="42" s="1"/>
  <c r="U11" i="75"/>
  <c r="U22" i="75" s="1"/>
  <c r="F140" i="43" s="1"/>
  <c r="F143" i="43" s="1"/>
  <c r="W5" i="33"/>
  <c r="C141" i="12"/>
  <c r="H29" i="42"/>
  <c r="C2" i="15"/>
  <c r="BD5" i="15" s="1"/>
  <c r="E2" i="15"/>
  <c r="K85" i="42"/>
  <c r="M85" i="42" s="1"/>
  <c r="O85" i="42" s="1"/>
  <c r="AA85" i="42" s="1"/>
  <c r="K82" i="42"/>
  <c r="M82" i="42" s="1"/>
  <c r="O82" i="42" s="1"/>
  <c r="AA82" i="42" s="1"/>
  <c r="G34" i="42"/>
  <c r="K88" i="42"/>
  <c r="M88" i="42" s="1"/>
  <c r="O88" i="42" s="1"/>
  <c r="AA88" i="42" s="1"/>
  <c r="J7" i="32"/>
  <c r="C17" i="71"/>
  <c r="F67" i="74"/>
  <c r="L67" i="74" s="1"/>
  <c r="K2" i="63"/>
  <c r="K47" i="63" s="1"/>
  <c r="F2" i="12"/>
  <c r="F59" i="12" s="1"/>
  <c r="F116" i="12" s="1"/>
  <c r="C8" i="41"/>
  <c r="C2" i="75"/>
  <c r="C2" i="73"/>
  <c r="B2" i="63"/>
  <c r="B47" i="63" s="1"/>
  <c r="M5" i="32"/>
  <c r="B2" i="61"/>
  <c r="B49" i="61" s="1"/>
  <c r="D2" i="12"/>
  <c r="D59" i="12" s="1"/>
  <c r="D116" i="12" s="1"/>
  <c r="F21" i="33"/>
  <c r="F76" i="43" s="1"/>
  <c r="G10" i="12"/>
  <c r="H45" i="58"/>
  <c r="K18" i="74"/>
  <c r="L18" i="41"/>
  <c r="C144" i="11"/>
  <c r="F6" i="32"/>
  <c r="N5" i="32" s="1"/>
  <c r="H131" i="43"/>
  <c r="H151" i="43"/>
  <c r="N96" i="43"/>
  <c r="H119" i="43"/>
  <c r="H141" i="43"/>
  <c r="I139" i="11"/>
  <c r="H141" i="11"/>
  <c r="G30" i="42"/>
  <c r="H30" i="42" s="1"/>
  <c r="M30" i="42" s="1"/>
  <c r="H30" i="73"/>
  <c r="F56" i="74"/>
  <c r="F66" i="74"/>
  <c r="E48" i="34"/>
  <c r="J35" i="12"/>
  <c r="C146" i="11"/>
  <c r="I138" i="11"/>
  <c r="C143" i="11"/>
  <c r="H140" i="11"/>
  <c r="J151" i="12"/>
  <c r="C9" i="43"/>
  <c r="A3" i="34"/>
  <c r="H2" i="61"/>
  <c r="H49" i="61" s="1"/>
  <c r="C18" i="71"/>
  <c r="H2" i="75"/>
  <c r="N6" i="32"/>
  <c r="D3" i="12"/>
  <c r="D60" i="12" s="1"/>
  <c r="D117" i="12" s="1"/>
  <c r="I2" i="73"/>
  <c r="G2" i="63"/>
  <c r="G47" i="63" s="1"/>
  <c r="C9" i="41"/>
  <c r="C7" i="70"/>
  <c r="J150" i="12"/>
  <c r="K9" i="41"/>
  <c r="K9" i="43"/>
  <c r="F26" i="33"/>
  <c r="F82" i="43" s="1"/>
  <c r="N82" i="43" s="1"/>
  <c r="F81" i="43"/>
  <c r="N81" i="43" s="1"/>
  <c r="F131" i="43"/>
  <c r="F133" i="43"/>
  <c r="L28" i="43"/>
  <c r="I40" i="63"/>
  <c r="C45" i="63" s="1"/>
  <c r="F118" i="43" s="1"/>
  <c r="F123" i="43" s="1"/>
  <c r="N123" i="43" s="1"/>
  <c r="J64" i="42"/>
  <c r="K63" i="42"/>
  <c r="T63" i="42" s="1"/>
  <c r="E34" i="42" s="1"/>
  <c r="S65" i="42"/>
  <c r="P66" i="42"/>
  <c r="F86" i="43"/>
  <c r="N86" i="43" s="1"/>
  <c r="E83" i="63"/>
  <c r="F83" i="63" s="1"/>
  <c r="A83" i="63"/>
  <c r="C83" i="63" s="1"/>
  <c r="I80" i="63"/>
  <c r="K80" i="63" s="1"/>
  <c r="I84" i="63" s="1"/>
  <c r="D80" i="63"/>
  <c r="C142" i="12"/>
  <c r="I67" i="63"/>
  <c r="K67" i="63" s="1"/>
  <c r="B70" i="63"/>
  <c r="C70" i="63" s="1"/>
  <c r="C75" i="63"/>
  <c r="E75" i="63"/>
  <c r="G80" i="63"/>
  <c r="H80" i="63" s="1"/>
  <c r="F153" i="43"/>
  <c r="F151" i="43"/>
  <c r="L55" i="74" l="1"/>
  <c r="F76" i="74"/>
  <c r="L76" i="74" s="1"/>
  <c r="E19" i="34"/>
  <c r="E21" i="34"/>
  <c r="P30" i="42"/>
  <c r="H79" i="43"/>
  <c r="K92" i="43" s="1"/>
  <c r="N92" i="43" s="1"/>
  <c r="F141" i="43"/>
  <c r="N141" i="43" s="1"/>
  <c r="F114" i="41"/>
  <c r="N114" i="41" s="1"/>
  <c r="F70" i="74"/>
  <c r="C142" i="41"/>
  <c r="C166" i="41"/>
  <c r="C130" i="41"/>
  <c r="C2" i="77"/>
  <c r="F111" i="41"/>
  <c r="M130" i="11"/>
  <c r="D60" i="34"/>
  <c r="G11" i="12"/>
  <c r="W11" i="33"/>
  <c r="F20" i="33" s="1"/>
  <c r="F23" i="33" s="1"/>
  <c r="F78" i="43" s="1"/>
  <c r="N78" i="43" s="1"/>
  <c r="J141" i="72"/>
  <c r="N32" i="42"/>
  <c r="N31" i="42"/>
  <c r="N26" i="42"/>
  <c r="N37" i="42"/>
  <c r="N34" i="42"/>
  <c r="N23" i="42"/>
  <c r="N35" i="42"/>
  <c r="N36" i="42"/>
  <c r="N24" i="42"/>
  <c r="N28" i="42"/>
  <c r="N33" i="42"/>
  <c r="N27" i="42"/>
  <c r="N30" i="42"/>
  <c r="N29" i="42"/>
  <c r="BE6" i="15"/>
  <c r="BF6" i="15" s="1"/>
  <c r="BE12" i="15"/>
  <c r="BF12" i="15" s="1"/>
  <c r="BE16" i="15"/>
  <c r="BF16" i="15" s="1"/>
  <c r="BE23" i="15"/>
  <c r="BF23" i="15" s="1"/>
  <c r="BE28" i="15"/>
  <c r="BF28" i="15" s="1"/>
  <c r="I108" i="11" s="1"/>
  <c r="BE33" i="15"/>
  <c r="BF33" i="15" s="1"/>
  <c r="BE39" i="15"/>
  <c r="BF39" i="15" s="1"/>
  <c r="M36" i="11" s="1"/>
  <c r="BE44" i="15"/>
  <c r="BF44" i="15" s="1"/>
  <c r="BD7" i="15"/>
  <c r="BD13" i="15"/>
  <c r="BD19" i="15"/>
  <c r="BD24" i="15"/>
  <c r="BD30" i="15"/>
  <c r="BD35" i="15"/>
  <c r="BD40" i="15"/>
  <c r="BE10" i="15"/>
  <c r="BF10" i="15" s="1"/>
  <c r="BE15" i="15"/>
  <c r="BF15" i="15" s="1"/>
  <c r="H28" i="12" s="1"/>
  <c r="BE21" i="15"/>
  <c r="BF21" i="15" s="1"/>
  <c r="M135" i="11" s="1"/>
  <c r="BE27" i="15"/>
  <c r="BF27" i="15" s="1"/>
  <c r="BE32" i="15"/>
  <c r="BE38" i="15"/>
  <c r="BF38" i="15" s="1"/>
  <c r="BE43" i="15"/>
  <c r="BF43" i="15" s="1"/>
  <c r="BD6" i="15"/>
  <c r="BD12" i="15"/>
  <c r="BD16" i="15"/>
  <c r="BD23" i="15"/>
  <c r="BD28" i="15"/>
  <c r="BD33" i="15"/>
  <c r="BD39" i="15"/>
  <c r="BD44" i="15"/>
  <c r="C8" i="15"/>
  <c r="D8" i="15" s="1"/>
  <c r="C12" i="15"/>
  <c r="D12" i="15" s="1"/>
  <c r="C16" i="15"/>
  <c r="D16" i="15" s="1"/>
  <c r="C20" i="15"/>
  <c r="D20" i="15" s="1"/>
  <c r="C24" i="15"/>
  <c r="D24" i="15" s="1"/>
  <c r="M20" i="11" s="1"/>
  <c r="C28" i="15"/>
  <c r="D28" i="15" s="1"/>
  <c r="C32" i="15"/>
  <c r="D32" i="15" s="1"/>
  <c r="C36" i="15"/>
  <c r="D36" i="15" s="1"/>
  <c r="C40" i="15"/>
  <c r="D40" i="15" s="1"/>
  <c r="C44" i="15"/>
  <c r="C48" i="15"/>
  <c r="D48" i="15" s="1"/>
  <c r="C52" i="15"/>
  <c r="D52" i="15" s="1"/>
  <c r="C56" i="15"/>
  <c r="D56" i="15" s="1"/>
  <c r="C60" i="15"/>
  <c r="D60" i="15" s="1"/>
  <c r="C64" i="15"/>
  <c r="D64" i="15" s="1"/>
  <c r="C68" i="15"/>
  <c r="D68" i="15" s="1"/>
  <c r="C72" i="15"/>
  <c r="D72" i="15" s="1"/>
  <c r="C76" i="15"/>
  <c r="D76" i="15" s="1"/>
  <c r="C80" i="15"/>
  <c r="D80" i="15" s="1"/>
  <c r="C84" i="15"/>
  <c r="D84" i="15" s="1"/>
  <c r="BE7" i="15"/>
  <c r="BF7" i="15" s="1"/>
  <c r="BE19" i="15"/>
  <c r="BF19" i="15" s="1"/>
  <c r="M142" i="11" s="1"/>
  <c r="BE30" i="15"/>
  <c r="BF30" i="15" s="1"/>
  <c r="H7" i="12" s="1"/>
  <c r="I7" i="12" s="1"/>
  <c r="J7" i="12" s="1"/>
  <c r="BE40" i="15"/>
  <c r="BF40" i="15" s="1"/>
  <c r="BD9" i="15"/>
  <c r="BD20" i="15"/>
  <c r="BD31" i="15"/>
  <c r="BD41" i="15"/>
  <c r="C17" i="15"/>
  <c r="D17" i="15" s="1"/>
  <c r="C38" i="15"/>
  <c r="D38" i="15" s="1"/>
  <c r="C54" i="15"/>
  <c r="D54" i="15" s="1"/>
  <c r="C70" i="15"/>
  <c r="D70" i="15" s="1"/>
  <c r="C86" i="15"/>
  <c r="D86" i="15" s="1"/>
  <c r="C106" i="15"/>
  <c r="D106" i="15" s="1"/>
  <c r="C118" i="15"/>
  <c r="D118" i="15" s="1"/>
  <c r="C130" i="15"/>
  <c r="D130" i="15" s="1"/>
  <c r="C142" i="15"/>
  <c r="D142" i="15" s="1"/>
  <c r="C154" i="15"/>
  <c r="D154" i="15" s="1"/>
  <c r="U4" i="64" s="1"/>
  <c r="U7" i="64" s="1"/>
  <c r="U8" i="64" s="1"/>
  <c r="U9" i="64" s="1"/>
  <c r="U10" i="64" s="1"/>
  <c r="E59" i="64" s="1"/>
  <c r="G59" i="64" s="1"/>
  <c r="H59" i="64" s="1"/>
  <c r="H60" i="64" s="1"/>
  <c r="I169" i="12" s="1"/>
  <c r="J169" i="12" s="1"/>
  <c r="C166" i="15"/>
  <c r="D166" i="15" s="1"/>
  <c r="C178" i="15"/>
  <c r="D178" i="15" s="1"/>
  <c r="C194" i="15"/>
  <c r="D194" i="15" s="1"/>
  <c r="C5" i="15"/>
  <c r="D5" i="15" s="1"/>
  <c r="M37" i="11" s="1"/>
  <c r="BE20" i="15"/>
  <c r="BF20" i="15" s="1"/>
  <c r="BD10" i="15"/>
  <c r="BD32" i="15"/>
  <c r="C13" i="15"/>
  <c r="D13" i="15" s="1"/>
  <c r="C23" i="15"/>
  <c r="D23" i="15" s="1"/>
  <c r="C34" i="15"/>
  <c r="D34" i="15" s="1"/>
  <c r="C45" i="15"/>
  <c r="D45" i="15" s="1"/>
  <c r="C55" i="15"/>
  <c r="D55" i="15" s="1"/>
  <c r="C66" i="15"/>
  <c r="D66" i="15" s="1"/>
  <c r="C82" i="15"/>
  <c r="D82" i="15" s="1"/>
  <c r="C91" i="15"/>
  <c r="D91" i="15" s="1"/>
  <c r="C99" i="15"/>
  <c r="D99" i="15" s="1"/>
  <c r="C107" i="15"/>
  <c r="D107" i="15" s="1"/>
  <c r="C115" i="15"/>
  <c r="D115" i="15" s="1"/>
  <c r="C123" i="15"/>
  <c r="D123" i="15" s="1"/>
  <c r="BE14" i="15"/>
  <c r="BF14" i="15" s="1"/>
  <c r="M68" i="11" s="1"/>
  <c r="BE25" i="15"/>
  <c r="BF25" i="15" s="1"/>
  <c r="BE36" i="15"/>
  <c r="BF36" i="15" s="1"/>
  <c r="M33" i="11" s="1"/>
  <c r="H13" i="12" s="1"/>
  <c r="BD15" i="15"/>
  <c r="BD27" i="15"/>
  <c r="BD38" i="15"/>
  <c r="C10" i="15"/>
  <c r="D10" i="15" s="1"/>
  <c r="C15" i="15"/>
  <c r="D15" i="15" s="1"/>
  <c r="C21" i="15"/>
  <c r="D21" i="15" s="1"/>
  <c r="C26" i="15"/>
  <c r="D26" i="15" s="1"/>
  <c r="C31" i="15"/>
  <c r="D31" i="15" s="1"/>
  <c r="C37" i="15"/>
  <c r="D37" i="15" s="1"/>
  <c r="C42" i="15"/>
  <c r="D42" i="15" s="1"/>
  <c r="C47" i="15"/>
  <c r="D47" i="15" s="1"/>
  <c r="C53" i="15"/>
  <c r="D53" i="15" s="1"/>
  <c r="C58" i="15"/>
  <c r="D58" i="15" s="1"/>
  <c r="C63" i="15"/>
  <c r="D63" i="15" s="1"/>
  <c r="C69" i="15"/>
  <c r="D69" i="15" s="1"/>
  <c r="C74" i="15"/>
  <c r="D74" i="15" s="1"/>
  <c r="C79" i="15"/>
  <c r="D79" i="15" s="1"/>
  <c r="C85" i="15"/>
  <c r="D85" i="15" s="1"/>
  <c r="C89" i="15"/>
  <c r="D89" i="15" s="1"/>
  <c r="C93" i="15"/>
  <c r="D93" i="15" s="1"/>
  <c r="C97" i="15"/>
  <c r="D97" i="15" s="1"/>
  <c r="C101" i="15"/>
  <c r="D101" i="15" s="1"/>
  <c r="C105" i="15"/>
  <c r="D105" i="15" s="1"/>
  <c r="C109" i="15"/>
  <c r="D109" i="15" s="1"/>
  <c r="C113" i="15"/>
  <c r="D113" i="15" s="1"/>
  <c r="C117" i="15"/>
  <c r="D117" i="15" s="1"/>
  <c r="C121" i="15"/>
  <c r="D121" i="15" s="1"/>
  <c r="C125" i="15"/>
  <c r="D125" i="15" s="1"/>
  <c r="C129" i="15"/>
  <c r="D129" i="15" s="1"/>
  <c r="C133" i="15"/>
  <c r="D133" i="15" s="1"/>
  <c r="C137" i="15"/>
  <c r="D137" i="15" s="1"/>
  <c r="C141" i="15"/>
  <c r="D141" i="15" s="1"/>
  <c r="C145" i="15"/>
  <c r="D145" i="15" s="1"/>
  <c r="C149" i="15"/>
  <c r="D149" i="15" s="1"/>
  <c r="C153" i="15"/>
  <c r="D153" i="15" s="1"/>
  <c r="C157" i="15"/>
  <c r="D157" i="15" s="1"/>
  <c r="C161" i="15"/>
  <c r="D161" i="15" s="1"/>
  <c r="C165" i="15"/>
  <c r="D165" i="15" s="1"/>
  <c r="C169" i="15"/>
  <c r="D169" i="15" s="1"/>
  <c r="C173" i="15"/>
  <c r="D173" i="15" s="1"/>
  <c r="C177" i="15"/>
  <c r="D177" i="15" s="1"/>
  <c r="C181" i="15"/>
  <c r="D181" i="15" s="1"/>
  <c r="C185" i="15"/>
  <c r="D185" i="15" s="1"/>
  <c r="C189" i="15"/>
  <c r="D189" i="15" s="1"/>
  <c r="C193" i="15"/>
  <c r="D193" i="15" s="1"/>
  <c r="C197" i="15"/>
  <c r="D197" i="15" s="1"/>
  <c r="C201" i="15"/>
  <c r="D201" i="15" s="1"/>
  <c r="C205" i="15"/>
  <c r="D205" i="15" s="1"/>
  <c r="C6" i="15"/>
  <c r="C11" i="15"/>
  <c r="D11" i="15" s="1"/>
  <c r="C22" i="15"/>
  <c r="D22" i="15" s="1"/>
  <c r="C27" i="15"/>
  <c r="D27" i="15" s="1"/>
  <c r="C33" i="15"/>
  <c r="D33" i="15" s="1"/>
  <c r="C43" i="15"/>
  <c r="D43" i="15" s="1"/>
  <c r="C49" i="15"/>
  <c r="D49" i="15" s="1"/>
  <c r="C59" i="15"/>
  <c r="D59" i="15" s="1"/>
  <c r="C65" i="15"/>
  <c r="D65" i="15" s="1"/>
  <c r="C75" i="15"/>
  <c r="D75" i="15" s="1"/>
  <c r="C81" i="15"/>
  <c r="D81" i="15" s="1"/>
  <c r="C90" i="15"/>
  <c r="D90" i="15" s="1"/>
  <c r="C94" i="15"/>
  <c r="C98" i="15"/>
  <c r="D98" i="15" s="1"/>
  <c r="C102" i="15"/>
  <c r="D102" i="15" s="1"/>
  <c r="C110" i="15"/>
  <c r="D110" i="15" s="1"/>
  <c r="C114" i="15"/>
  <c r="D114" i="15" s="1"/>
  <c r="C122" i="15"/>
  <c r="D122" i="15" s="1"/>
  <c r="C126" i="15"/>
  <c r="D126" i="15" s="1"/>
  <c r="C134" i="15"/>
  <c r="D134" i="15" s="1"/>
  <c r="C138" i="15"/>
  <c r="D138" i="15" s="1"/>
  <c r="C146" i="15"/>
  <c r="D146" i="15" s="1"/>
  <c r="C150" i="15"/>
  <c r="D150" i="15" s="1"/>
  <c r="C158" i="15"/>
  <c r="D158" i="15" s="1"/>
  <c r="C162" i="15"/>
  <c r="D162" i="15" s="1"/>
  <c r="C170" i="15"/>
  <c r="D170" i="15" s="1"/>
  <c r="C174" i="15"/>
  <c r="D174" i="15" s="1"/>
  <c r="C182" i="15"/>
  <c r="D182" i="15" s="1"/>
  <c r="C186" i="15"/>
  <c r="D186" i="15" s="1"/>
  <c r="C190" i="15"/>
  <c r="D190" i="15" s="1"/>
  <c r="C198" i="15"/>
  <c r="D198" i="15" s="1"/>
  <c r="C202" i="15"/>
  <c r="D202" i="15" s="1"/>
  <c r="BE9" i="15"/>
  <c r="BF9" i="15" s="1"/>
  <c r="M63" i="11" s="1"/>
  <c r="BE31" i="15"/>
  <c r="BF31" i="15" s="1"/>
  <c r="BE41" i="15"/>
  <c r="BF41" i="15" s="1"/>
  <c r="BD21" i="15"/>
  <c r="BD43" i="15"/>
  <c r="C7" i="15"/>
  <c r="D7" i="15" s="1"/>
  <c r="C18" i="15"/>
  <c r="D18" i="15" s="1"/>
  <c r="C29" i="15"/>
  <c r="D29" i="15" s="1"/>
  <c r="C39" i="15"/>
  <c r="D39" i="15" s="1"/>
  <c r="C50" i="15"/>
  <c r="D50" i="15" s="1"/>
  <c r="C61" i="15"/>
  <c r="D61" i="15" s="1"/>
  <c r="C71" i="15"/>
  <c r="D71" i="15" s="1"/>
  <c r="C77" i="15"/>
  <c r="D77" i="15" s="1"/>
  <c r="C87" i="15"/>
  <c r="D87" i="15" s="1"/>
  <c r="C95" i="15"/>
  <c r="D95" i="15" s="1"/>
  <c r="C103" i="15"/>
  <c r="D103" i="15" s="1"/>
  <c r="C111" i="15"/>
  <c r="D111" i="15" s="1"/>
  <c r="C119" i="15"/>
  <c r="D119" i="15" s="1"/>
  <c r="BE5" i="15"/>
  <c r="BF5" i="15" s="1"/>
  <c r="M52" i="11" s="1"/>
  <c r="C9" i="15"/>
  <c r="D9" i="15" s="1"/>
  <c r="C30" i="15"/>
  <c r="D30" i="15" s="1"/>
  <c r="C51" i="15"/>
  <c r="D51" i="15" s="1"/>
  <c r="C73" i="15"/>
  <c r="D73" i="15" s="1"/>
  <c r="C92" i="15"/>
  <c r="D92" i="15" s="1"/>
  <c r="C108" i="15"/>
  <c r="D108" i="15" s="1"/>
  <c r="C124" i="15"/>
  <c r="D124" i="15" s="1"/>
  <c r="C132" i="15"/>
  <c r="D132" i="15" s="1"/>
  <c r="C140" i="15"/>
  <c r="D140" i="15" s="1"/>
  <c r="C148" i="15"/>
  <c r="D148" i="15" s="1"/>
  <c r="C156" i="15"/>
  <c r="D156" i="15" s="1"/>
  <c r="C164" i="15"/>
  <c r="D164" i="15" s="1"/>
  <c r="C172" i="15"/>
  <c r="D172" i="15" s="1"/>
  <c r="C180" i="15"/>
  <c r="D180" i="15" s="1"/>
  <c r="C188" i="15"/>
  <c r="D188" i="15" s="1"/>
  <c r="C196" i="15"/>
  <c r="D196" i="15" s="1"/>
  <c r="C204" i="15"/>
  <c r="D204" i="15" s="1"/>
  <c r="BE13" i="15"/>
  <c r="BF13" i="15" s="1"/>
  <c r="AV2" i="42" s="1"/>
  <c r="BD14" i="15"/>
  <c r="C14" i="15"/>
  <c r="C35" i="15"/>
  <c r="D35" i="15" s="1"/>
  <c r="C57" i="15"/>
  <c r="D57" i="15" s="1"/>
  <c r="C78" i="15"/>
  <c r="D78" i="15" s="1"/>
  <c r="C96" i="15"/>
  <c r="D96" i="15" s="1"/>
  <c r="C112" i="15"/>
  <c r="D112" i="15" s="1"/>
  <c r="C127" i="15"/>
  <c r="D127" i="15" s="1"/>
  <c r="C135" i="15"/>
  <c r="D135" i="15" s="1"/>
  <c r="C143" i="15"/>
  <c r="D143" i="15" s="1"/>
  <c r="C151" i="15"/>
  <c r="D151" i="15" s="1"/>
  <c r="C159" i="15"/>
  <c r="D159" i="15" s="1"/>
  <c r="C167" i="15"/>
  <c r="D167" i="15" s="1"/>
  <c r="C175" i="15"/>
  <c r="D175" i="15" s="1"/>
  <c r="C183" i="15"/>
  <c r="D183" i="15" s="1"/>
  <c r="C191" i="15"/>
  <c r="D191" i="15" s="1"/>
  <c r="C199" i="15"/>
  <c r="D199" i="15" s="1"/>
  <c r="BE24" i="15"/>
  <c r="BF24" i="15" s="1"/>
  <c r="BD25" i="15"/>
  <c r="C19" i="15"/>
  <c r="D19" i="15" s="1"/>
  <c r="C41" i="15"/>
  <c r="D41" i="15" s="1"/>
  <c r="C62" i="15"/>
  <c r="D62" i="15" s="1"/>
  <c r="C83" i="15"/>
  <c r="D83" i="15" s="1"/>
  <c r="C100" i="15"/>
  <c r="D100" i="15" s="1"/>
  <c r="C116" i="15"/>
  <c r="D116" i="15" s="1"/>
  <c r="C128" i="15"/>
  <c r="D128" i="15" s="1"/>
  <c r="C136" i="15"/>
  <c r="D136" i="15" s="1"/>
  <c r="C144" i="15"/>
  <c r="D144" i="15" s="1"/>
  <c r="C152" i="15"/>
  <c r="D152" i="15" s="1"/>
  <c r="C160" i="15"/>
  <c r="D160" i="15" s="1"/>
  <c r="C168" i="15"/>
  <c r="D168" i="15" s="1"/>
  <c r="C176" i="15"/>
  <c r="D176" i="15" s="1"/>
  <c r="C184" i="15"/>
  <c r="D184" i="15" s="1"/>
  <c r="C192" i="15"/>
  <c r="D192" i="15" s="1"/>
  <c r="C200" i="15"/>
  <c r="D200" i="15" s="1"/>
  <c r="BE35" i="15"/>
  <c r="BF35" i="15" s="1"/>
  <c r="M29" i="11" s="1"/>
  <c r="BD36" i="15"/>
  <c r="C25" i="15"/>
  <c r="D25" i="15" s="1"/>
  <c r="C46" i="15"/>
  <c r="D46" i="15" s="1"/>
  <c r="C67" i="15"/>
  <c r="D67" i="15" s="1"/>
  <c r="C88" i="15"/>
  <c r="D88" i="15" s="1"/>
  <c r="C104" i="15"/>
  <c r="D104" i="15" s="1"/>
  <c r="C120" i="15"/>
  <c r="D120" i="15" s="1"/>
  <c r="C131" i="15"/>
  <c r="D131" i="15" s="1"/>
  <c r="C139" i="15"/>
  <c r="D139" i="15" s="1"/>
  <c r="C147" i="15"/>
  <c r="D147" i="15" s="1"/>
  <c r="C155" i="15"/>
  <c r="D155" i="15" s="1"/>
  <c r="C163" i="15"/>
  <c r="D163" i="15" s="1"/>
  <c r="C171" i="15"/>
  <c r="D171" i="15" s="1"/>
  <c r="C179" i="15"/>
  <c r="D179" i="15" s="1"/>
  <c r="C187" i="15"/>
  <c r="D187" i="15" s="1"/>
  <c r="C195" i="15"/>
  <c r="D195" i="15" s="1"/>
  <c r="C203" i="15"/>
  <c r="D203" i="15" s="1"/>
  <c r="E6" i="15"/>
  <c r="F6" i="15" s="1"/>
  <c r="E10" i="15"/>
  <c r="F10" i="15" s="1"/>
  <c r="E14" i="15"/>
  <c r="F14" i="15" s="1"/>
  <c r="E18" i="15"/>
  <c r="F18" i="15" s="1"/>
  <c r="E22" i="15"/>
  <c r="F22" i="15" s="1"/>
  <c r="E26" i="15"/>
  <c r="F26" i="15" s="1"/>
  <c r="E30" i="15"/>
  <c r="F30" i="15" s="1"/>
  <c r="E34" i="15"/>
  <c r="F34" i="15" s="1"/>
  <c r="E38" i="15"/>
  <c r="F38" i="15" s="1"/>
  <c r="E42" i="15"/>
  <c r="F42" i="15" s="1"/>
  <c r="E46" i="15"/>
  <c r="F46" i="15" s="1"/>
  <c r="E50" i="15"/>
  <c r="F50" i="15" s="1"/>
  <c r="E54" i="15"/>
  <c r="F54" i="15" s="1"/>
  <c r="E58" i="15"/>
  <c r="F58" i="15" s="1"/>
  <c r="E62" i="15"/>
  <c r="F62" i="15" s="1"/>
  <c r="E66" i="15"/>
  <c r="F66" i="15" s="1"/>
  <c r="E70" i="15"/>
  <c r="F70" i="15" s="1"/>
  <c r="E74" i="15"/>
  <c r="F74" i="15" s="1"/>
  <c r="E78" i="15"/>
  <c r="F78" i="15" s="1"/>
  <c r="E82" i="15"/>
  <c r="F82" i="15" s="1"/>
  <c r="E86" i="15"/>
  <c r="F86" i="15" s="1"/>
  <c r="E90" i="15"/>
  <c r="F90" i="15" s="1"/>
  <c r="E94" i="15"/>
  <c r="E98" i="15"/>
  <c r="F98" i="15" s="1"/>
  <c r="E102" i="15"/>
  <c r="F102" i="15" s="1"/>
  <c r="E9" i="15"/>
  <c r="F9" i="15" s="1"/>
  <c r="E13" i="15"/>
  <c r="F13" i="15" s="1"/>
  <c r="E17" i="15"/>
  <c r="F17" i="15" s="1"/>
  <c r="E21" i="15"/>
  <c r="F21" i="15" s="1"/>
  <c r="E25" i="15"/>
  <c r="F25" i="15" s="1"/>
  <c r="E29" i="15"/>
  <c r="F29" i="15" s="1"/>
  <c r="E33" i="15"/>
  <c r="F33" i="15" s="1"/>
  <c r="E37" i="15"/>
  <c r="F37" i="15" s="1"/>
  <c r="E41" i="15"/>
  <c r="F41" i="15" s="1"/>
  <c r="E45" i="15"/>
  <c r="F45" i="15" s="1"/>
  <c r="E49" i="15"/>
  <c r="F49" i="15" s="1"/>
  <c r="E53" i="15"/>
  <c r="F53" i="15" s="1"/>
  <c r="E57" i="15"/>
  <c r="F57" i="15" s="1"/>
  <c r="E61" i="15"/>
  <c r="F61" i="15" s="1"/>
  <c r="E65" i="15"/>
  <c r="F65" i="15" s="1"/>
  <c r="E69" i="15"/>
  <c r="N22" i="43" s="1"/>
  <c r="E73" i="15"/>
  <c r="F73" i="15" s="1"/>
  <c r="E77" i="15"/>
  <c r="F77" i="15" s="1"/>
  <c r="E81" i="15"/>
  <c r="F81" i="15" s="1"/>
  <c r="E85" i="15"/>
  <c r="F85" i="15" s="1"/>
  <c r="E89" i="15"/>
  <c r="F89" i="15" s="1"/>
  <c r="E93" i="15"/>
  <c r="F93" i="15" s="1"/>
  <c r="E97" i="15"/>
  <c r="F97" i="15" s="1"/>
  <c r="E101" i="15"/>
  <c r="F101" i="15" s="1"/>
  <c r="E105" i="15"/>
  <c r="F105" i="15" s="1"/>
  <c r="E109" i="15"/>
  <c r="F109" i="15" s="1"/>
  <c r="E113" i="15"/>
  <c r="F113" i="15" s="1"/>
  <c r="E117" i="15"/>
  <c r="F117" i="15" s="1"/>
  <c r="E121" i="15"/>
  <c r="F121" i="15" s="1"/>
  <c r="E125" i="15"/>
  <c r="F125" i="15" s="1"/>
  <c r="E129" i="15"/>
  <c r="F129" i="15" s="1"/>
  <c r="E133" i="15"/>
  <c r="F133" i="15" s="1"/>
  <c r="E137" i="15"/>
  <c r="F137" i="15" s="1"/>
  <c r="E141" i="15"/>
  <c r="F141" i="15" s="1"/>
  <c r="E145" i="15"/>
  <c r="F145" i="15" s="1"/>
  <c r="E149" i="15"/>
  <c r="F149" i="15" s="1"/>
  <c r="E153" i="15"/>
  <c r="F153" i="15" s="1"/>
  <c r="E157" i="15"/>
  <c r="F157" i="15" s="1"/>
  <c r="E161" i="15"/>
  <c r="F161" i="15" s="1"/>
  <c r="E165" i="15"/>
  <c r="F165" i="15" s="1"/>
  <c r="E169" i="15"/>
  <c r="F169" i="15" s="1"/>
  <c r="E173" i="15"/>
  <c r="F173" i="15" s="1"/>
  <c r="E177" i="15"/>
  <c r="F177" i="15" s="1"/>
  <c r="E181" i="15"/>
  <c r="F181" i="15" s="1"/>
  <c r="E185" i="15"/>
  <c r="F185" i="15" s="1"/>
  <c r="E189" i="15"/>
  <c r="F189" i="15" s="1"/>
  <c r="E193" i="15"/>
  <c r="F193" i="15" s="1"/>
  <c r="E197" i="15"/>
  <c r="F197" i="15" s="1"/>
  <c r="E201" i="15"/>
  <c r="F201" i="15" s="1"/>
  <c r="E205" i="15"/>
  <c r="F205" i="15" s="1"/>
  <c r="E11" i="15"/>
  <c r="F11" i="15" s="1"/>
  <c r="E27" i="15"/>
  <c r="F27" i="15" s="1"/>
  <c r="E35" i="15"/>
  <c r="F35" i="15" s="1"/>
  <c r="E51" i="15"/>
  <c r="F51" i="15" s="1"/>
  <c r="E75" i="15"/>
  <c r="F75" i="15" s="1"/>
  <c r="E111" i="15"/>
  <c r="F111" i="15" s="1"/>
  <c r="E127" i="15"/>
  <c r="F127" i="15" s="1"/>
  <c r="E143" i="15"/>
  <c r="F143" i="15" s="1"/>
  <c r="E159" i="15"/>
  <c r="F159" i="15" s="1"/>
  <c r="E186" i="15"/>
  <c r="F186" i="15" s="1"/>
  <c r="E202" i="15"/>
  <c r="F202" i="15" s="1"/>
  <c r="E12" i="15"/>
  <c r="F12" i="15" s="1"/>
  <c r="E36" i="15"/>
  <c r="F36" i="15" s="1"/>
  <c r="E52" i="15"/>
  <c r="F52" i="15" s="1"/>
  <c r="E68" i="15"/>
  <c r="F68" i="15" s="1"/>
  <c r="E84" i="15"/>
  <c r="F84" i="15" s="1"/>
  <c r="E107" i="15"/>
  <c r="F107" i="15" s="1"/>
  <c r="E118" i="15"/>
  <c r="F118" i="15" s="1"/>
  <c r="E128" i="15"/>
  <c r="F128" i="15" s="1"/>
  <c r="E139" i="15"/>
  <c r="F139" i="15" s="1"/>
  <c r="E150" i="15"/>
  <c r="F150" i="15" s="1"/>
  <c r="E160" i="15"/>
  <c r="F160" i="15" s="1"/>
  <c r="E171" i="15"/>
  <c r="F171" i="15" s="1"/>
  <c r="E182" i="15"/>
  <c r="F182" i="15" s="1"/>
  <c r="E192" i="15"/>
  <c r="F192" i="15" s="1"/>
  <c r="E203" i="15"/>
  <c r="F203" i="15" s="1"/>
  <c r="E8" i="15"/>
  <c r="F8" i="15" s="1"/>
  <c r="E16" i="15"/>
  <c r="F16" i="15" s="1"/>
  <c r="E24" i="15"/>
  <c r="F24" i="15" s="1"/>
  <c r="E32" i="15"/>
  <c r="F32" i="15" s="1"/>
  <c r="E40" i="15"/>
  <c r="F40" i="15" s="1"/>
  <c r="E48" i="15"/>
  <c r="F48" i="15" s="1"/>
  <c r="E56" i="15"/>
  <c r="F56" i="15" s="1"/>
  <c r="E64" i="15"/>
  <c r="F64" i="15" s="1"/>
  <c r="E72" i="15"/>
  <c r="F72" i="15" s="1"/>
  <c r="E80" i="15"/>
  <c r="F80" i="15" s="1"/>
  <c r="E88" i="15"/>
  <c r="F88" i="15" s="1"/>
  <c r="E96" i="15"/>
  <c r="F96" i="15" s="1"/>
  <c r="E104" i="15"/>
  <c r="F104" i="15" s="1"/>
  <c r="E110" i="15"/>
  <c r="F110" i="15" s="1"/>
  <c r="E115" i="15"/>
  <c r="F115" i="15" s="1"/>
  <c r="E120" i="15"/>
  <c r="F120" i="15" s="1"/>
  <c r="E126" i="15"/>
  <c r="F126" i="15" s="1"/>
  <c r="E131" i="15"/>
  <c r="F131" i="15" s="1"/>
  <c r="E136" i="15"/>
  <c r="F136" i="15" s="1"/>
  <c r="E142" i="15"/>
  <c r="F142" i="15" s="1"/>
  <c r="E147" i="15"/>
  <c r="F147" i="15" s="1"/>
  <c r="E152" i="15"/>
  <c r="F152" i="15" s="1"/>
  <c r="E158" i="15"/>
  <c r="F158" i="15" s="1"/>
  <c r="E163" i="15"/>
  <c r="F163" i="15" s="1"/>
  <c r="E168" i="15"/>
  <c r="F168" i="15" s="1"/>
  <c r="E174" i="15"/>
  <c r="F174" i="15" s="1"/>
  <c r="E179" i="15"/>
  <c r="F179" i="15" s="1"/>
  <c r="E184" i="15"/>
  <c r="F184" i="15" s="1"/>
  <c r="E190" i="15"/>
  <c r="F190" i="15" s="1"/>
  <c r="E195" i="15"/>
  <c r="F195" i="15" s="1"/>
  <c r="E200" i="15"/>
  <c r="F200" i="15" s="1"/>
  <c r="E5" i="15"/>
  <c r="F5" i="15" s="1"/>
  <c r="E19" i="15"/>
  <c r="F19" i="15" s="1"/>
  <c r="E43" i="15"/>
  <c r="F43" i="15" s="1"/>
  <c r="E59" i="15"/>
  <c r="F59" i="15" s="1"/>
  <c r="E67" i="15"/>
  <c r="F67" i="15" s="1"/>
  <c r="E83" i="15"/>
  <c r="F83" i="15" s="1"/>
  <c r="E91" i="15"/>
  <c r="F91" i="15" s="1"/>
  <c r="E99" i="15"/>
  <c r="F99" i="15" s="1"/>
  <c r="E106" i="15"/>
  <c r="F106" i="15" s="1"/>
  <c r="E116" i="15"/>
  <c r="F116" i="15" s="1"/>
  <c r="E122" i="15"/>
  <c r="F122" i="15" s="1"/>
  <c r="E132" i="15"/>
  <c r="F132" i="15" s="1"/>
  <c r="E138" i="15"/>
  <c r="F138" i="15" s="1"/>
  <c r="E148" i="15"/>
  <c r="F148" i="15" s="1"/>
  <c r="E154" i="15"/>
  <c r="F154" i="15" s="1"/>
  <c r="E164" i="15"/>
  <c r="F164" i="15" s="1"/>
  <c r="E170" i="15"/>
  <c r="F170" i="15" s="1"/>
  <c r="E175" i="15"/>
  <c r="F175" i="15" s="1"/>
  <c r="E180" i="15"/>
  <c r="F180" i="15" s="1"/>
  <c r="E191" i="15"/>
  <c r="F191" i="15" s="1"/>
  <c r="E196" i="15"/>
  <c r="F196" i="15" s="1"/>
  <c r="E20" i="15"/>
  <c r="F20" i="15" s="1"/>
  <c r="E28" i="15"/>
  <c r="F28" i="15" s="1"/>
  <c r="E44" i="15"/>
  <c r="F44" i="15" s="1"/>
  <c r="E60" i="15"/>
  <c r="F60" i="15" s="1"/>
  <c r="E76" i="15"/>
  <c r="F76" i="15" s="1"/>
  <c r="E92" i="15"/>
  <c r="F92" i="15" s="1"/>
  <c r="E100" i="15"/>
  <c r="F100" i="15" s="1"/>
  <c r="E112" i="15"/>
  <c r="F112" i="15" s="1"/>
  <c r="E123" i="15"/>
  <c r="F123" i="15" s="1"/>
  <c r="E134" i="15"/>
  <c r="F134" i="15" s="1"/>
  <c r="E144" i="15"/>
  <c r="F144" i="15" s="1"/>
  <c r="E155" i="15"/>
  <c r="F155" i="15" s="1"/>
  <c r="E166" i="15"/>
  <c r="F166" i="15" s="1"/>
  <c r="E176" i="15"/>
  <c r="F176" i="15" s="1"/>
  <c r="E187" i="15"/>
  <c r="F187" i="15" s="1"/>
  <c r="E198" i="15"/>
  <c r="F198" i="15" s="1"/>
  <c r="E7" i="15"/>
  <c r="F7" i="15" s="1"/>
  <c r="E39" i="15"/>
  <c r="F39" i="15" s="1"/>
  <c r="E71" i="15"/>
  <c r="F71" i="15" s="1"/>
  <c r="E103" i="15"/>
  <c r="F103" i="15" s="1"/>
  <c r="E124" i="15"/>
  <c r="F124" i="15" s="1"/>
  <c r="E146" i="15"/>
  <c r="F146" i="15" s="1"/>
  <c r="E167" i="15"/>
  <c r="F167" i="15" s="1"/>
  <c r="E188" i="15"/>
  <c r="F188" i="15" s="1"/>
  <c r="E15" i="15"/>
  <c r="F15" i="15" s="1"/>
  <c r="E47" i="15"/>
  <c r="F47" i="15" s="1"/>
  <c r="E79" i="15"/>
  <c r="F79" i="15" s="1"/>
  <c r="E108" i="15"/>
  <c r="F108" i="15" s="1"/>
  <c r="E130" i="15"/>
  <c r="F130" i="15" s="1"/>
  <c r="E151" i="15"/>
  <c r="F151" i="15" s="1"/>
  <c r="E172" i="15"/>
  <c r="F172" i="15" s="1"/>
  <c r="E194" i="15"/>
  <c r="F194" i="15" s="1"/>
  <c r="E23" i="15"/>
  <c r="F23" i="15" s="1"/>
  <c r="E55" i="15"/>
  <c r="F55" i="15" s="1"/>
  <c r="E87" i="15"/>
  <c r="F87" i="15" s="1"/>
  <c r="E114" i="15"/>
  <c r="F114" i="15" s="1"/>
  <c r="E135" i="15"/>
  <c r="F135" i="15" s="1"/>
  <c r="E156" i="15"/>
  <c r="F156" i="15" s="1"/>
  <c r="E178" i="15"/>
  <c r="F178" i="15" s="1"/>
  <c r="E199" i="15"/>
  <c r="F199" i="15" s="1"/>
  <c r="E31" i="15"/>
  <c r="F31" i="15" s="1"/>
  <c r="E63" i="15"/>
  <c r="F63" i="15" s="1"/>
  <c r="E95" i="15"/>
  <c r="F95" i="15" s="1"/>
  <c r="E119" i="15"/>
  <c r="F119" i="15" s="1"/>
  <c r="E140" i="15"/>
  <c r="F140" i="15" s="1"/>
  <c r="E162" i="15"/>
  <c r="F162" i="15" s="1"/>
  <c r="E183" i="15"/>
  <c r="F183" i="15" s="1"/>
  <c r="E204" i="15"/>
  <c r="F204" i="15" s="1"/>
  <c r="I86" i="63"/>
  <c r="M119" i="11"/>
  <c r="M121" i="11" s="1"/>
  <c r="N111" i="43"/>
  <c r="H157" i="12" s="1"/>
  <c r="N131" i="43"/>
  <c r="M29" i="42"/>
  <c r="K1" i="15"/>
  <c r="F37" i="42"/>
  <c r="F31" i="42"/>
  <c r="F32" i="42"/>
  <c r="F8" i="41"/>
  <c r="E17" i="71"/>
  <c r="A2" i="34"/>
  <c r="F8" i="43"/>
  <c r="D2" i="73"/>
  <c r="C2" i="61"/>
  <c r="C49" i="61" s="1"/>
  <c r="H46" i="58"/>
  <c r="H47" i="58" s="1"/>
  <c r="G8" i="12"/>
  <c r="N151" i="43"/>
  <c r="G35" i="42"/>
  <c r="F77" i="74"/>
  <c r="L77" i="74" s="1"/>
  <c r="L56" i="74"/>
  <c r="L44" i="74"/>
  <c r="H148" i="41"/>
  <c r="L52" i="74"/>
  <c r="F119" i="43"/>
  <c r="N119" i="43" s="1"/>
  <c r="D45" i="63"/>
  <c r="H75" i="63"/>
  <c r="E76" i="63" s="1"/>
  <c r="G70" i="63"/>
  <c r="E71" i="63" s="1"/>
  <c r="K64" i="42"/>
  <c r="T64" i="42" s="1"/>
  <c r="E25" i="42" s="1"/>
  <c r="J65" i="42"/>
  <c r="H153" i="43"/>
  <c r="H143" i="43"/>
  <c r="N143" i="43" s="1"/>
  <c r="J76" i="63"/>
  <c r="A90" i="63" s="1"/>
  <c r="A86" i="63"/>
  <c r="C86" i="63" s="1"/>
  <c r="D75" i="63"/>
  <c r="E77" i="63" s="1"/>
  <c r="E90" i="63" s="1"/>
  <c r="H83" i="63"/>
  <c r="I83" i="63" s="1"/>
  <c r="S66" i="42"/>
  <c r="P67" i="42"/>
  <c r="H133" i="43"/>
  <c r="N133" i="43" s="1"/>
  <c r="F121" i="41" l="1"/>
  <c r="F125" i="41" s="1"/>
  <c r="N125" i="41" s="1"/>
  <c r="E24" i="34"/>
  <c r="E22" i="34"/>
  <c r="H63" i="43"/>
  <c r="N63" i="43" s="1"/>
  <c r="H197" i="43"/>
  <c r="N197" i="43" s="1"/>
  <c r="H217" i="43"/>
  <c r="N217" i="43" s="1"/>
  <c r="H157" i="43"/>
  <c r="N157" i="43" s="1"/>
  <c r="H177" i="43"/>
  <c r="N177" i="43" s="1"/>
  <c r="H190" i="43"/>
  <c r="N190" i="43" s="1"/>
  <c r="H210" i="43"/>
  <c r="N210" i="43" s="1"/>
  <c r="H230" i="43"/>
  <c r="N230" i="43" s="1"/>
  <c r="H170" i="43"/>
  <c r="N153" i="43"/>
  <c r="N173" i="43"/>
  <c r="N175" i="43" s="1"/>
  <c r="H146" i="12" s="1"/>
  <c r="F69" i="15"/>
  <c r="N19" i="43"/>
  <c r="N20" i="43"/>
  <c r="N21" i="43"/>
  <c r="M39" i="11"/>
  <c r="H99" i="41"/>
  <c r="N99" i="41" s="1"/>
  <c r="H81" i="41"/>
  <c r="N81" i="41" s="1"/>
  <c r="H90" i="41"/>
  <c r="N90" i="41" s="1"/>
  <c r="H72" i="41"/>
  <c r="N72" i="41" s="1"/>
  <c r="N79" i="43"/>
  <c r="K103" i="43"/>
  <c r="H221" i="43" s="1"/>
  <c r="N221" i="43" s="1"/>
  <c r="D44" i="15"/>
  <c r="K41" i="42"/>
  <c r="M115" i="11"/>
  <c r="H19" i="12" s="1"/>
  <c r="M72" i="11"/>
  <c r="M73" i="11"/>
  <c r="M38" i="11"/>
  <c r="E38" i="64"/>
  <c r="G38" i="64" s="1"/>
  <c r="H38" i="64" s="1"/>
  <c r="H39" i="64" s="1"/>
  <c r="I168" i="12" s="1"/>
  <c r="J168" i="12" s="1"/>
  <c r="L57" i="74"/>
  <c r="L70" i="74"/>
  <c r="L75" i="74"/>
  <c r="M17" i="11"/>
  <c r="M45" i="11" s="1"/>
  <c r="M145" i="11"/>
  <c r="H32" i="12"/>
  <c r="H22" i="12"/>
  <c r="H29" i="12"/>
  <c r="AV1" i="42"/>
  <c r="H9" i="12"/>
  <c r="I9" i="12" s="1"/>
  <c r="J9" i="12" s="1"/>
  <c r="F77" i="43"/>
  <c r="F85" i="43" s="1"/>
  <c r="N13" i="41"/>
  <c r="H64" i="41" s="1"/>
  <c r="N64" i="41" s="1"/>
  <c r="M131" i="11"/>
  <c r="D14" i="15"/>
  <c r="D6" i="15"/>
  <c r="M12" i="74"/>
  <c r="F158" i="41"/>
  <c r="F162" i="41" s="1"/>
  <c r="N162" i="41" s="1"/>
  <c r="F134" i="41"/>
  <c r="F138" i="41" s="1"/>
  <c r="N138" i="41" s="1"/>
  <c r="F146" i="41"/>
  <c r="F150" i="41" s="1"/>
  <c r="N150" i="41" s="1"/>
  <c r="F108" i="41"/>
  <c r="M17" i="74"/>
  <c r="I47" i="74" s="1"/>
  <c r="L47" i="74" s="1"/>
  <c r="D14" i="72"/>
  <c r="J3" i="34"/>
  <c r="H12" i="12"/>
  <c r="I13" i="12"/>
  <c r="J13" i="12" s="1"/>
  <c r="O44" i="72"/>
  <c r="L144" i="72"/>
  <c r="M120" i="11"/>
  <c r="N103" i="43"/>
  <c r="O29" i="58"/>
  <c r="F38" i="58" s="1"/>
  <c r="S17" i="11" s="1"/>
  <c r="M13" i="74"/>
  <c r="J27" i="74" s="1"/>
  <c r="M70" i="11"/>
  <c r="M44" i="11"/>
  <c r="I85" i="63"/>
  <c r="M18" i="11"/>
  <c r="M11" i="74"/>
  <c r="N15" i="41"/>
  <c r="M14" i="74"/>
  <c r="J14" i="58"/>
  <c r="L14" i="58" s="1"/>
  <c r="H21" i="12"/>
  <c r="M64" i="11"/>
  <c r="H15" i="12" s="1"/>
  <c r="M21" i="11"/>
  <c r="M112" i="11" s="1"/>
  <c r="M114" i="11" s="1"/>
  <c r="J17" i="58"/>
  <c r="L17" i="58" s="1"/>
  <c r="H25" i="12"/>
  <c r="H10" i="12"/>
  <c r="I10" i="12" s="1"/>
  <c r="J10" i="12" s="1"/>
  <c r="E17" i="64"/>
  <c r="G17" i="64" s="1"/>
  <c r="M69" i="11"/>
  <c r="X21" i="11"/>
  <c r="Z21" i="11" s="1"/>
  <c r="M90" i="11"/>
  <c r="H31" i="12"/>
  <c r="X19" i="11"/>
  <c r="Z19" i="11" s="1"/>
  <c r="M19" i="74"/>
  <c r="H24" i="12"/>
  <c r="M19" i="11"/>
  <c r="M16" i="74"/>
  <c r="M18" i="74"/>
  <c r="D94" i="15"/>
  <c r="M15" i="74" s="1"/>
  <c r="M97" i="11"/>
  <c r="M83" i="11"/>
  <c r="H17" i="12" s="1"/>
  <c r="J10" i="58"/>
  <c r="L10" i="58" s="1"/>
  <c r="M125" i="11"/>
  <c r="M136" i="11"/>
  <c r="M124" i="11"/>
  <c r="X16" i="11"/>
  <c r="X15" i="11"/>
  <c r="X17" i="11"/>
  <c r="M56" i="11"/>
  <c r="H14" i="12" s="1"/>
  <c r="AV3" i="42"/>
  <c r="AW2" i="42" s="1"/>
  <c r="H8" i="12" s="1"/>
  <c r="I8" i="12" s="1"/>
  <c r="J8" i="12" s="1"/>
  <c r="M25" i="11"/>
  <c r="X20" i="11"/>
  <c r="Z20" i="11" s="1"/>
  <c r="J13" i="58"/>
  <c r="L13" i="58" s="1"/>
  <c r="F94" i="15"/>
  <c r="N17" i="41"/>
  <c r="J11" i="58"/>
  <c r="L11" i="58" s="1"/>
  <c r="M21" i="74"/>
  <c r="J26" i="74" s="1"/>
  <c r="N18" i="43"/>
  <c r="N16" i="41"/>
  <c r="J12" i="58"/>
  <c r="L12" i="58" s="1"/>
  <c r="N12" i="41"/>
  <c r="N17" i="43"/>
  <c r="H77" i="43" s="1"/>
  <c r="N12" i="43"/>
  <c r="N18" i="41"/>
  <c r="N16" i="43"/>
  <c r="H223" i="43" s="1"/>
  <c r="N223" i="43" s="1"/>
  <c r="J18" i="58"/>
  <c r="L18" i="58" s="1"/>
  <c r="J16" i="58"/>
  <c r="L16" i="58" s="1"/>
  <c r="J20" i="58"/>
  <c r="L20" i="58" s="1"/>
  <c r="J19" i="58"/>
  <c r="L19" i="58" s="1"/>
  <c r="N15" i="43"/>
  <c r="N14" i="41"/>
  <c r="N13" i="43"/>
  <c r="N14" i="43"/>
  <c r="F34" i="42"/>
  <c r="F35" i="42"/>
  <c r="P35" i="42" s="1"/>
  <c r="F36" i="42"/>
  <c r="L54" i="72"/>
  <c r="C2" i="63"/>
  <c r="C47" i="63" s="1"/>
  <c r="B3" i="64"/>
  <c r="B24" i="64" s="1"/>
  <c r="B45" i="64" s="1"/>
  <c r="D2" i="75"/>
  <c r="H48" i="58"/>
  <c r="H49" i="58" s="1"/>
  <c r="H50" i="58" s="1"/>
  <c r="O26" i="72"/>
  <c r="G26" i="42"/>
  <c r="P26" i="42" s="1"/>
  <c r="M132" i="11"/>
  <c r="F69" i="74"/>
  <c r="F78" i="74"/>
  <c r="L78" i="74" s="1"/>
  <c r="L68" i="74"/>
  <c r="H160" i="41"/>
  <c r="P68" i="42"/>
  <c r="S67" i="42"/>
  <c r="K65" i="42"/>
  <c r="T65" i="42" s="1"/>
  <c r="E30" i="42" s="1"/>
  <c r="J66" i="42"/>
  <c r="C90" i="63"/>
  <c r="D90" i="63" s="1"/>
  <c r="N111" i="41" l="1"/>
  <c r="E25" i="34"/>
  <c r="E28" i="34" s="1"/>
  <c r="E27" i="34"/>
  <c r="E30" i="34" s="1"/>
  <c r="E33" i="34" s="1"/>
  <c r="E34" i="34" s="1"/>
  <c r="H34" i="42"/>
  <c r="M34" i="42" s="1"/>
  <c r="P34" i="42"/>
  <c r="M40" i="11"/>
  <c r="M41" i="11" s="1"/>
  <c r="H200" i="43"/>
  <c r="N200" i="43" s="1"/>
  <c r="H220" i="43"/>
  <c r="N220" i="43" s="1"/>
  <c r="H180" i="43"/>
  <c r="N180" i="43" s="1"/>
  <c r="H160" i="43"/>
  <c r="N160" i="43" s="1"/>
  <c r="H208" i="43"/>
  <c r="N208" i="43" s="1"/>
  <c r="H228" i="43"/>
  <c r="N228" i="43" s="1"/>
  <c r="H207" i="43"/>
  <c r="N207" i="43" s="1"/>
  <c r="H227" i="43"/>
  <c r="N227" i="43" s="1"/>
  <c r="H206" i="43"/>
  <c r="N206" i="43" s="1"/>
  <c r="H226" i="43"/>
  <c r="N226" i="43" s="1"/>
  <c r="H183" i="43"/>
  <c r="N183" i="43" s="1"/>
  <c r="H203" i="43"/>
  <c r="N203" i="43" s="1"/>
  <c r="H181" i="43"/>
  <c r="N181" i="43" s="1"/>
  <c r="H201" i="43"/>
  <c r="N201" i="43" s="1"/>
  <c r="H168" i="43"/>
  <c r="N168" i="43" s="1"/>
  <c r="H188" i="43"/>
  <c r="N188" i="43" s="1"/>
  <c r="H167" i="43"/>
  <c r="N167" i="43" s="1"/>
  <c r="H187" i="43"/>
  <c r="N187" i="43" s="1"/>
  <c r="H166" i="43"/>
  <c r="H186" i="43"/>
  <c r="N186" i="43" s="1"/>
  <c r="H163" i="43"/>
  <c r="N163" i="43" s="1"/>
  <c r="H65" i="43"/>
  <c r="K95" i="43" s="1"/>
  <c r="N95" i="43" s="1"/>
  <c r="E31" i="34"/>
  <c r="H138" i="43"/>
  <c r="N138" i="43" s="1"/>
  <c r="H161" i="43"/>
  <c r="N161" i="43" s="1"/>
  <c r="E36" i="34"/>
  <c r="E39" i="34" s="1"/>
  <c r="E37" i="34"/>
  <c r="H148" i="43"/>
  <c r="N148" i="43" s="1"/>
  <c r="H128" i="43"/>
  <c r="N128" i="43" s="1"/>
  <c r="H114" i="43"/>
  <c r="N114" i="43" s="1"/>
  <c r="K42" i="42"/>
  <c r="M41" i="42"/>
  <c r="N41" i="42" s="1"/>
  <c r="J28" i="74"/>
  <c r="M28" i="74" s="1"/>
  <c r="H11" i="12"/>
  <c r="I11" i="12" s="1"/>
  <c r="J11" i="12" s="1"/>
  <c r="M49" i="11"/>
  <c r="G152" i="12" s="1"/>
  <c r="I152" i="12" s="1"/>
  <c r="J152" i="12" s="1"/>
  <c r="M48" i="11"/>
  <c r="G153" i="12" s="1"/>
  <c r="I153" i="12" s="1"/>
  <c r="J153" i="12" s="1"/>
  <c r="H17" i="64"/>
  <c r="H18" i="64" s="1"/>
  <c r="I69" i="74"/>
  <c r="L69" i="74" s="1"/>
  <c r="L74" i="74"/>
  <c r="L79" i="74" s="1"/>
  <c r="H26" i="12" s="1"/>
  <c r="H18" i="12"/>
  <c r="E1" i="42"/>
  <c r="I12" i="42" s="1"/>
  <c r="BL34" i="15"/>
  <c r="BL35" i="15"/>
  <c r="BL33" i="15"/>
  <c r="BT32" i="15"/>
  <c r="BL36" i="15"/>
  <c r="H35" i="42"/>
  <c r="M35" i="42" s="1"/>
  <c r="F157" i="41"/>
  <c r="F161" i="41" s="1"/>
  <c r="N161" i="41" s="1"/>
  <c r="F145" i="41"/>
  <c r="F149" i="41" s="1"/>
  <c r="N149" i="41" s="1"/>
  <c r="F133" i="41"/>
  <c r="F137" i="41" s="1"/>
  <c r="N137" i="41" s="1"/>
  <c r="L64" i="72"/>
  <c r="J61" i="72"/>
  <c r="H116" i="43"/>
  <c r="H225" i="43" s="1"/>
  <c r="N225" i="43" s="1"/>
  <c r="K33" i="42"/>
  <c r="K28" i="42"/>
  <c r="K34" i="42"/>
  <c r="K36" i="42"/>
  <c r="K29" i="42"/>
  <c r="K30" i="42"/>
  <c r="K37" i="42"/>
  <c r="K32" i="42"/>
  <c r="K23" i="42"/>
  <c r="K25" i="42"/>
  <c r="K27" i="42"/>
  <c r="K26" i="42"/>
  <c r="K31" i="42"/>
  <c r="K35" i="42"/>
  <c r="K24" i="42"/>
  <c r="L29" i="42"/>
  <c r="L24" i="42"/>
  <c r="L28" i="42"/>
  <c r="L34" i="42"/>
  <c r="L33" i="42"/>
  <c r="L26" i="42"/>
  <c r="L30" i="42"/>
  <c r="L35" i="42"/>
  <c r="L25" i="42"/>
  <c r="L23" i="42"/>
  <c r="K94" i="43"/>
  <c r="M31" i="74"/>
  <c r="F37" i="58"/>
  <c r="S16" i="11" s="1"/>
  <c r="Z16" i="11" s="1"/>
  <c r="V12" i="11" s="1"/>
  <c r="K23" i="11" s="1"/>
  <c r="M23" i="11" s="1"/>
  <c r="F36" i="58"/>
  <c r="S15" i="11" s="1"/>
  <c r="Z15" i="11" s="1"/>
  <c r="P11" i="11" s="1"/>
  <c r="B22" i="11" s="1"/>
  <c r="M26" i="74"/>
  <c r="I48" i="74"/>
  <c r="L48" i="74" s="1"/>
  <c r="I49" i="74"/>
  <c r="I73" i="74" s="1"/>
  <c r="L73" i="74" s="1"/>
  <c r="M27" i="74"/>
  <c r="H109" i="41"/>
  <c r="H121" i="41" s="1"/>
  <c r="H110" i="41"/>
  <c r="H122" i="41" s="1"/>
  <c r="H134" i="41" s="1"/>
  <c r="H146" i="41" s="1"/>
  <c r="H158" i="41" s="1"/>
  <c r="I46" i="74"/>
  <c r="L46" i="74" s="1"/>
  <c r="K33" i="41"/>
  <c r="K38" i="41" s="1"/>
  <c r="K46" i="41" s="1"/>
  <c r="K40" i="41"/>
  <c r="K48" i="41" s="1"/>
  <c r="K34" i="41"/>
  <c r="K39" i="41" s="1"/>
  <c r="K47" i="41" s="1"/>
  <c r="J41" i="43" s="1"/>
  <c r="M30" i="11"/>
  <c r="M53" i="11"/>
  <c r="M54" i="11" s="1"/>
  <c r="M55" i="11" s="1"/>
  <c r="G14" i="12" s="1"/>
  <c r="I14" i="12" s="1"/>
  <c r="J14" i="12" s="1"/>
  <c r="Z17" i="11"/>
  <c r="X13" i="11" s="1"/>
  <c r="S8" i="11"/>
  <c r="H15" i="11" s="1"/>
  <c r="N135" i="43"/>
  <c r="H163" i="12" s="1"/>
  <c r="P5" i="11"/>
  <c r="B12" i="11" s="1"/>
  <c r="V8" i="11"/>
  <c r="X8" i="11" s="1"/>
  <c r="S5" i="11"/>
  <c r="H12" i="11" s="1"/>
  <c r="S4" i="11"/>
  <c r="H11" i="11" s="1"/>
  <c r="M76" i="11" s="1"/>
  <c r="V5" i="11"/>
  <c r="X5" i="11" s="1"/>
  <c r="P6" i="11"/>
  <c r="S7" i="11"/>
  <c r="H14" i="11" s="1"/>
  <c r="S6" i="11"/>
  <c r="H13" i="11" s="1"/>
  <c r="V6" i="11"/>
  <c r="X6" i="11" s="1"/>
  <c r="P4" i="11"/>
  <c r="B11" i="11" s="1"/>
  <c r="V4" i="11"/>
  <c r="K11" i="11" s="1"/>
  <c r="M11" i="11" s="1"/>
  <c r="V7" i="11"/>
  <c r="K14" i="11" s="1"/>
  <c r="M14" i="11" s="1"/>
  <c r="P7" i="11"/>
  <c r="B14" i="11" s="1"/>
  <c r="N28" i="43"/>
  <c r="P8" i="11"/>
  <c r="B15" i="11" s="1"/>
  <c r="H73" i="41"/>
  <c r="H52" i="58"/>
  <c r="H53" i="58" s="1"/>
  <c r="H54" i="58" s="1"/>
  <c r="H55" i="58" s="1"/>
  <c r="H56" i="58" s="1"/>
  <c r="H57" i="58" s="1"/>
  <c r="H58" i="58" s="1"/>
  <c r="H59" i="58" s="1"/>
  <c r="H51" i="58"/>
  <c r="K20" i="74" s="1"/>
  <c r="M20" i="74" s="1"/>
  <c r="O32" i="72"/>
  <c r="H26" i="42"/>
  <c r="M26" i="42" s="1"/>
  <c r="G31" i="42"/>
  <c r="N122" i="43"/>
  <c r="N125" i="43" s="1"/>
  <c r="H98" i="43"/>
  <c r="N98" i="43" s="1"/>
  <c r="N100" i="43" s="1"/>
  <c r="H156" i="12" s="1"/>
  <c r="J67" i="42"/>
  <c r="K66" i="42"/>
  <c r="T66" i="42" s="1"/>
  <c r="E35" i="42" s="1"/>
  <c r="S68" i="42"/>
  <c r="P69" i="42"/>
  <c r="L31" i="42" l="1"/>
  <c r="P31" i="42"/>
  <c r="J48" i="43"/>
  <c r="N48" i="43" s="1"/>
  <c r="K34" i="43"/>
  <c r="N34" i="43" s="1"/>
  <c r="H185" i="43"/>
  <c r="N185" i="43" s="1"/>
  <c r="H205" i="43"/>
  <c r="N205" i="43" s="1"/>
  <c r="N116" i="43"/>
  <c r="H165" i="43"/>
  <c r="N165" i="43" s="1"/>
  <c r="H120" i="43"/>
  <c r="N120" i="43" s="1"/>
  <c r="N170" i="43"/>
  <c r="E40" i="34"/>
  <c r="N24" i="41"/>
  <c r="H4" i="42"/>
  <c r="K43" i="42"/>
  <c r="M42" i="42"/>
  <c r="N42" i="42" s="1"/>
  <c r="M31" i="11"/>
  <c r="M32" i="11" s="1"/>
  <c r="I167" i="12"/>
  <c r="J167" i="12" s="1"/>
  <c r="I16" i="42"/>
  <c r="I18" i="42"/>
  <c r="I9" i="42"/>
  <c r="I17" i="42"/>
  <c r="I10" i="42"/>
  <c r="I8" i="42"/>
  <c r="I7" i="42"/>
  <c r="I4" i="42"/>
  <c r="I5" i="42"/>
  <c r="I6" i="42"/>
  <c r="I15" i="42"/>
  <c r="I13" i="42"/>
  <c r="I14" i="42"/>
  <c r="H82" i="41"/>
  <c r="N82" i="41" s="1"/>
  <c r="I51" i="74"/>
  <c r="L51" i="74" s="1"/>
  <c r="I11" i="42"/>
  <c r="F132" i="41"/>
  <c r="F156" i="41"/>
  <c r="F144" i="41"/>
  <c r="F159" i="41"/>
  <c r="N159" i="41" s="1"/>
  <c r="F147" i="41"/>
  <c r="N147" i="41" s="1"/>
  <c r="F135" i="41"/>
  <c r="N135" i="41" s="1"/>
  <c r="J81" i="72"/>
  <c r="N41" i="43"/>
  <c r="K105" i="43"/>
  <c r="N94" i="43"/>
  <c r="N77" i="43"/>
  <c r="N65" i="43"/>
  <c r="N46" i="41"/>
  <c r="J40" i="43"/>
  <c r="K33" i="43" s="1"/>
  <c r="N33" i="43" s="1"/>
  <c r="N48" i="41"/>
  <c r="J42" i="43"/>
  <c r="K35" i="43" s="1"/>
  <c r="N35" i="43" s="1"/>
  <c r="N38" i="41"/>
  <c r="L49" i="74"/>
  <c r="M29" i="74"/>
  <c r="M30" i="74" s="1"/>
  <c r="I42" i="74" s="1"/>
  <c r="L42" i="74" s="1"/>
  <c r="V13" i="11"/>
  <c r="K24" i="11" s="1"/>
  <c r="M24" i="11" s="1"/>
  <c r="M94" i="11" s="1"/>
  <c r="I72" i="74"/>
  <c r="L72" i="74" s="1"/>
  <c r="N40" i="41"/>
  <c r="N33" i="41"/>
  <c r="N39" i="41"/>
  <c r="N34" i="41"/>
  <c r="G19" i="12"/>
  <c r="M116" i="11"/>
  <c r="I19" i="12" s="1"/>
  <c r="J19" i="12" s="1"/>
  <c r="M60" i="11"/>
  <c r="M77" i="11"/>
  <c r="M78" i="11" s="1"/>
  <c r="S13" i="11"/>
  <c r="H24" i="11" s="1"/>
  <c r="M93" i="11" s="1"/>
  <c r="M57" i="11"/>
  <c r="P13" i="11"/>
  <c r="B24" i="11" s="1"/>
  <c r="Z5" i="11"/>
  <c r="Z8" i="11"/>
  <c r="N155" i="43"/>
  <c r="H165" i="12" s="1"/>
  <c r="N145" i="43"/>
  <c r="H164" i="12" s="1"/>
  <c r="N146" i="41"/>
  <c r="K15" i="11"/>
  <c r="M15" i="11" s="1"/>
  <c r="X11" i="11"/>
  <c r="I161" i="12"/>
  <c r="J161" i="12" s="1"/>
  <c r="N73" i="41"/>
  <c r="G160" i="12"/>
  <c r="I160" i="12" s="1"/>
  <c r="J160" i="12" s="1"/>
  <c r="S12" i="11"/>
  <c r="H23" i="11" s="1"/>
  <c r="M122" i="11" s="1"/>
  <c r="N47" i="41"/>
  <c r="K106" i="43"/>
  <c r="S11" i="11"/>
  <c r="H22" i="11" s="1"/>
  <c r="M86" i="11" s="1"/>
  <c r="V11" i="11"/>
  <c r="K22" i="11" s="1"/>
  <c r="M22" i="11" s="1"/>
  <c r="M87" i="11" s="1"/>
  <c r="N160" i="41"/>
  <c r="B13" i="11"/>
  <c r="B16" i="11" s="1"/>
  <c r="P12" i="11"/>
  <c r="B23" i="11" s="1"/>
  <c r="B14" i="74"/>
  <c r="M59" i="11"/>
  <c r="B15" i="41"/>
  <c r="B15" i="43" s="1"/>
  <c r="B28" i="43" s="1"/>
  <c r="X12" i="11"/>
  <c r="K12" i="11"/>
  <c r="M12" i="11" s="1"/>
  <c r="N158" i="41"/>
  <c r="H16" i="11"/>
  <c r="N148" i="41"/>
  <c r="X7" i="11"/>
  <c r="Z7" i="11" s="1"/>
  <c r="Z6" i="11"/>
  <c r="N136" i="41"/>
  <c r="K13" i="11"/>
  <c r="M13" i="11" s="1"/>
  <c r="N109" i="41"/>
  <c r="X4" i="11"/>
  <c r="Z4" i="11" s="1"/>
  <c r="L84" i="72"/>
  <c r="N134" i="41"/>
  <c r="H133" i="41"/>
  <c r="O38" i="72"/>
  <c r="H31" i="42"/>
  <c r="M31" i="42" s="1"/>
  <c r="G36" i="42"/>
  <c r="S69" i="42"/>
  <c r="P70" i="42"/>
  <c r="N85" i="43"/>
  <c r="N87" i="43" s="1"/>
  <c r="N88" i="43" s="1"/>
  <c r="H155" i="12" s="1"/>
  <c r="K67" i="42"/>
  <c r="T67" i="42" s="1"/>
  <c r="E26" i="42" s="1"/>
  <c r="J68" i="42"/>
  <c r="L36" i="42" l="1"/>
  <c r="P36" i="42"/>
  <c r="N37" i="43"/>
  <c r="N38" i="43" s="1"/>
  <c r="H150" i="43"/>
  <c r="N150" i="43" s="1"/>
  <c r="N166" i="43"/>
  <c r="N25" i="41"/>
  <c r="H5" i="42"/>
  <c r="K44" i="42"/>
  <c r="M43" i="42"/>
  <c r="N43" i="42" s="1"/>
  <c r="H14" i="42"/>
  <c r="H9" i="42"/>
  <c r="G16" i="12"/>
  <c r="I16" i="12" s="1"/>
  <c r="J16" i="12" s="1"/>
  <c r="M34" i="11"/>
  <c r="G12" i="12"/>
  <c r="I12" i="12" s="1"/>
  <c r="J12" i="12" s="1"/>
  <c r="H91" i="41"/>
  <c r="N91" i="41" s="1"/>
  <c r="I66" i="74"/>
  <c r="L66" i="74" s="1"/>
  <c r="L94" i="72"/>
  <c r="J91" i="72"/>
  <c r="J71" i="72"/>
  <c r="L74" i="72"/>
  <c r="N105" i="43"/>
  <c r="H117" i="43"/>
  <c r="N35" i="41"/>
  <c r="N36" i="41" s="1"/>
  <c r="N40" i="43"/>
  <c r="J47" i="43"/>
  <c r="N47" i="43" s="1"/>
  <c r="Z12" i="11"/>
  <c r="I45" i="74" s="1"/>
  <c r="I71" i="74" s="1"/>
  <c r="L71" i="74" s="1"/>
  <c r="M61" i="11"/>
  <c r="M62" i="11" s="1"/>
  <c r="M71" i="11" s="1"/>
  <c r="N41" i="41"/>
  <c r="N43" i="41" s="1"/>
  <c r="N44" i="41" s="1"/>
  <c r="J49" i="43"/>
  <c r="N49" i="43" s="1"/>
  <c r="N42" i="43"/>
  <c r="N49" i="41"/>
  <c r="M95" i="11"/>
  <c r="M96" i="11" s="1"/>
  <c r="Z13" i="11"/>
  <c r="N112" i="41"/>
  <c r="M133" i="11"/>
  <c r="M88" i="11"/>
  <c r="M89" i="11" s="1"/>
  <c r="M91" i="11" s="1"/>
  <c r="H140" i="43"/>
  <c r="N140" i="43" s="1"/>
  <c r="H130" i="43"/>
  <c r="N130" i="43" s="1"/>
  <c r="H118" i="43"/>
  <c r="N118" i="43" s="1"/>
  <c r="N106" i="43"/>
  <c r="Z11" i="11"/>
  <c r="K16" i="11"/>
  <c r="M16" i="11" s="1"/>
  <c r="M134" i="11" s="1"/>
  <c r="H145" i="41"/>
  <c r="N133" i="41"/>
  <c r="G27" i="42"/>
  <c r="H36" i="42"/>
  <c r="M36" i="42" s="1"/>
  <c r="G159" i="12"/>
  <c r="I159" i="12" s="1"/>
  <c r="J159" i="12" s="1"/>
  <c r="J162" i="12"/>
  <c r="S70" i="42"/>
  <c r="P71" i="42"/>
  <c r="K68" i="42"/>
  <c r="T68" i="42" s="1"/>
  <c r="E31" i="42" s="1"/>
  <c r="J69" i="42"/>
  <c r="L27" i="42" l="1"/>
  <c r="P27" i="42"/>
  <c r="H199" i="43"/>
  <c r="N199" i="43" s="1"/>
  <c r="H219" i="43"/>
  <c r="N219" i="43" s="1"/>
  <c r="H179" i="43"/>
  <c r="N179" i="43" s="1"/>
  <c r="H159" i="43"/>
  <c r="N159" i="43" s="1"/>
  <c r="H204" i="43"/>
  <c r="N204" i="43" s="1"/>
  <c r="H224" i="43"/>
  <c r="N224" i="43" s="1"/>
  <c r="H164" i="43"/>
  <c r="N164" i="43" s="1"/>
  <c r="H184" i="43"/>
  <c r="N184" i="43" s="1"/>
  <c r="N117" i="43"/>
  <c r="N44" i="43"/>
  <c r="N45" i="43" s="1"/>
  <c r="N51" i="43"/>
  <c r="N52" i="43" s="1"/>
  <c r="H64" i="43" s="1"/>
  <c r="N64" i="43" s="1"/>
  <c r="N69" i="43" s="1"/>
  <c r="N70" i="43" s="1"/>
  <c r="G154" i="12" s="1"/>
  <c r="N26" i="41"/>
  <c r="H6" i="42"/>
  <c r="H65" i="41"/>
  <c r="H74" i="41" s="1"/>
  <c r="H83" i="41" s="1"/>
  <c r="H92" i="41" s="1"/>
  <c r="H101" i="41" s="1"/>
  <c r="N101" i="41" s="1"/>
  <c r="F1" i="42"/>
  <c r="J4" i="42" s="1"/>
  <c r="K45" i="42"/>
  <c r="M45" i="42" s="1"/>
  <c r="N45" i="42" s="1"/>
  <c r="M44" i="42"/>
  <c r="N44" i="42" s="1"/>
  <c r="H15" i="42"/>
  <c r="H10" i="42"/>
  <c r="N63" i="41"/>
  <c r="H100" i="41"/>
  <c r="N100" i="41" s="1"/>
  <c r="M80" i="11"/>
  <c r="G29" i="12"/>
  <c r="I29" i="12" s="1"/>
  <c r="J29" i="12" s="1"/>
  <c r="L80" i="74"/>
  <c r="L81" i="74" s="1"/>
  <c r="G22" i="12"/>
  <c r="I22" i="12" s="1"/>
  <c r="J22" i="12" s="1"/>
  <c r="M74" i="11"/>
  <c r="G18" i="12"/>
  <c r="I18" i="12" s="1"/>
  <c r="J18" i="12" s="1"/>
  <c r="G15" i="12"/>
  <c r="I15" i="12" s="1"/>
  <c r="J15" i="12" s="1"/>
  <c r="J101" i="72"/>
  <c r="M65" i="11"/>
  <c r="L45" i="74"/>
  <c r="L58" i="74" s="1"/>
  <c r="L59" i="74" s="1"/>
  <c r="N51" i="41"/>
  <c r="N52" i="41" s="1"/>
  <c r="M98" i="11"/>
  <c r="H66" i="41"/>
  <c r="G1" i="42"/>
  <c r="M137" i="11"/>
  <c r="M139" i="11" s="1"/>
  <c r="G28" i="12"/>
  <c r="I28" i="12" s="1"/>
  <c r="J28" i="12" s="1"/>
  <c r="G21" i="12"/>
  <c r="I21" i="12" s="1"/>
  <c r="J21" i="12" s="1"/>
  <c r="M123" i="11"/>
  <c r="M126" i="11" s="1"/>
  <c r="M128" i="11" s="1"/>
  <c r="H157" i="41"/>
  <c r="N157" i="41" s="1"/>
  <c r="N145" i="41"/>
  <c r="G37" i="42"/>
  <c r="P37" i="42" s="1"/>
  <c r="G32" i="42"/>
  <c r="H27" i="42"/>
  <c r="M27" i="42" s="1"/>
  <c r="K69" i="42"/>
  <c r="T69" i="42" s="1"/>
  <c r="E36" i="42" s="1"/>
  <c r="J70" i="42"/>
  <c r="P72" i="42"/>
  <c r="S72" i="42" s="1"/>
  <c r="S71" i="42"/>
  <c r="L32" i="42" l="1"/>
  <c r="P32" i="42"/>
  <c r="N83" i="41"/>
  <c r="N74" i="41"/>
  <c r="N65" i="41"/>
  <c r="N92" i="41"/>
  <c r="N27" i="41"/>
  <c r="H7" i="42"/>
  <c r="H11" i="42"/>
  <c r="N71" i="41" s="1"/>
  <c r="H16" i="42"/>
  <c r="N28" i="41"/>
  <c r="H8" i="42"/>
  <c r="H108" i="41"/>
  <c r="H120" i="41" s="1"/>
  <c r="H132" i="41" s="1"/>
  <c r="H144" i="41" s="1"/>
  <c r="H156" i="41" s="1"/>
  <c r="N156" i="41" s="1"/>
  <c r="N164" i="41" s="1"/>
  <c r="N165" i="41" s="1"/>
  <c r="N166" i="41" s="1"/>
  <c r="I145" i="12" s="1"/>
  <c r="J145" i="12" s="1"/>
  <c r="E20" i="42"/>
  <c r="J36" i="42" s="1"/>
  <c r="G26" i="12"/>
  <c r="I26" i="12" s="1"/>
  <c r="J26" i="12" s="1"/>
  <c r="F122" i="41"/>
  <c r="F126" i="41" s="1"/>
  <c r="N126" i="41" s="1"/>
  <c r="L37" i="42"/>
  <c r="I154" i="12"/>
  <c r="J154" i="12" s="1"/>
  <c r="G158" i="12"/>
  <c r="J111" i="72"/>
  <c r="L104" i="72"/>
  <c r="H76" i="43"/>
  <c r="J10" i="42"/>
  <c r="J16" i="42"/>
  <c r="J15" i="42"/>
  <c r="J17" i="42"/>
  <c r="J8" i="42"/>
  <c r="J13" i="42"/>
  <c r="J12" i="42"/>
  <c r="J9" i="42"/>
  <c r="J14" i="42"/>
  <c r="J5" i="42"/>
  <c r="J7" i="42"/>
  <c r="J18" i="42"/>
  <c r="J11" i="42"/>
  <c r="J6" i="42"/>
  <c r="K15" i="42"/>
  <c r="N15" i="42" s="1"/>
  <c r="K7" i="42"/>
  <c r="K4" i="42"/>
  <c r="N4" i="42" s="1"/>
  <c r="K13" i="42"/>
  <c r="K11" i="42"/>
  <c r="K14" i="42"/>
  <c r="K12" i="42"/>
  <c r="K18" i="42"/>
  <c r="K16" i="42"/>
  <c r="K17" i="42"/>
  <c r="K10" i="42"/>
  <c r="K9" i="42"/>
  <c r="K8" i="42"/>
  <c r="K6" i="42"/>
  <c r="K5" i="42"/>
  <c r="N66" i="41"/>
  <c r="H75" i="41"/>
  <c r="M141" i="11"/>
  <c r="N110" i="41"/>
  <c r="M81" i="11"/>
  <c r="M82" i="11" s="1"/>
  <c r="M138" i="11"/>
  <c r="M127" i="11"/>
  <c r="H37" i="42"/>
  <c r="F123" i="41" s="1"/>
  <c r="H32" i="42"/>
  <c r="M32" i="42" s="1"/>
  <c r="K70" i="42"/>
  <c r="T70" i="42" s="1"/>
  <c r="E27" i="42" s="1"/>
  <c r="J71" i="42"/>
  <c r="N10" i="42" l="1"/>
  <c r="N68" i="41"/>
  <c r="N69" i="41" s="1"/>
  <c r="I135" i="12" s="1"/>
  <c r="J135" i="12" s="1"/>
  <c r="N108" i="41"/>
  <c r="N116" i="41" s="1"/>
  <c r="N117" i="41" s="1"/>
  <c r="N118" i="41" s="1"/>
  <c r="I141" i="12" s="1"/>
  <c r="J141" i="12" s="1"/>
  <c r="N98" i="41"/>
  <c r="H18" i="42"/>
  <c r="N18" i="42" s="1"/>
  <c r="H13" i="42"/>
  <c r="N13" i="42" s="1"/>
  <c r="N89" i="41"/>
  <c r="H17" i="42"/>
  <c r="N17" i="42" s="1"/>
  <c r="H12" i="42"/>
  <c r="N80" i="41" s="1"/>
  <c r="N132" i="41"/>
  <c r="N140" i="41" s="1"/>
  <c r="N141" i="41" s="1"/>
  <c r="N142" i="41" s="1"/>
  <c r="I143" i="12" s="1"/>
  <c r="J143" i="12" s="1"/>
  <c r="N144" i="41"/>
  <c r="N152" i="41" s="1"/>
  <c r="N153" i="41" s="1"/>
  <c r="N154" i="41" s="1"/>
  <c r="I144" i="12" s="1"/>
  <c r="J144" i="12" s="1"/>
  <c r="J24" i="42"/>
  <c r="Q24" i="42" s="1"/>
  <c r="R24" i="42" s="1"/>
  <c r="J28" i="42"/>
  <c r="Q28" i="42" s="1"/>
  <c r="R28" i="42" s="1"/>
  <c r="J30" i="42"/>
  <c r="Q30" i="42" s="1"/>
  <c r="R30" i="42" s="1"/>
  <c r="J23" i="42"/>
  <c r="Q23" i="42" s="1"/>
  <c r="R23" i="42" s="1"/>
  <c r="J31" i="42"/>
  <c r="Q31" i="42" s="1"/>
  <c r="R31" i="42" s="1"/>
  <c r="J33" i="42"/>
  <c r="Q33" i="42" s="1"/>
  <c r="R33" i="42" s="1"/>
  <c r="J26" i="42"/>
  <c r="Q26" i="42" s="1"/>
  <c r="R26" i="42" s="1"/>
  <c r="J34" i="42"/>
  <c r="Q34" i="42" s="1"/>
  <c r="R34" i="42" s="1"/>
  <c r="J25" i="42"/>
  <c r="Q25" i="42" s="1"/>
  <c r="R25" i="42" s="1"/>
  <c r="J29" i="42"/>
  <c r="Q29" i="42" s="1"/>
  <c r="R29" i="42" s="1"/>
  <c r="J35" i="42"/>
  <c r="Q35" i="42" s="1"/>
  <c r="R35" i="42" s="1"/>
  <c r="M84" i="11"/>
  <c r="G17" i="12"/>
  <c r="I17" i="12" s="1"/>
  <c r="J17" i="12" s="1"/>
  <c r="L114" i="72"/>
  <c r="J131" i="72"/>
  <c r="J121" i="72"/>
  <c r="M140" i="11"/>
  <c r="G31" i="12" s="1"/>
  <c r="I31" i="12" s="1"/>
  <c r="J31" i="12" s="1"/>
  <c r="N16" i="42"/>
  <c r="K91" i="43"/>
  <c r="N76" i="43"/>
  <c r="N83" i="43" s="1"/>
  <c r="N84" i="43" s="1"/>
  <c r="G155" i="12" s="1"/>
  <c r="I155" i="12" s="1"/>
  <c r="J155" i="12" s="1"/>
  <c r="N8" i="42"/>
  <c r="N7" i="42"/>
  <c r="N9" i="42"/>
  <c r="N5" i="42"/>
  <c r="N11" i="42"/>
  <c r="N6" i="42"/>
  <c r="N14" i="42"/>
  <c r="H84" i="41"/>
  <c r="N75" i="41"/>
  <c r="N77" i="41" s="1"/>
  <c r="N78" i="41" s="1"/>
  <c r="I136" i="12" s="1"/>
  <c r="J136" i="12" s="1"/>
  <c r="M144" i="11"/>
  <c r="G32" i="12"/>
  <c r="I32" i="12" s="1"/>
  <c r="J32" i="12" s="1"/>
  <c r="G25" i="12"/>
  <c r="I25" i="12" s="1"/>
  <c r="J25" i="12" s="1"/>
  <c r="M147" i="11"/>
  <c r="N124" i="41"/>
  <c r="M37" i="42"/>
  <c r="N123" i="41"/>
  <c r="K71" i="42"/>
  <c r="T71" i="42" s="1"/>
  <c r="E32" i="42" s="1"/>
  <c r="J72" i="42"/>
  <c r="K72" i="42" s="1"/>
  <c r="T72" i="42" s="1"/>
  <c r="E37" i="42" s="1"/>
  <c r="F120" i="41" s="1"/>
  <c r="Q36" i="42"/>
  <c r="R36" i="42" s="1"/>
  <c r="J27" i="42"/>
  <c r="N12" i="42" l="1"/>
  <c r="L134" i="72"/>
  <c r="L124" i="72"/>
  <c r="M146" i="11"/>
  <c r="M143" i="11"/>
  <c r="G24" i="12"/>
  <c r="I24" i="12" s="1"/>
  <c r="J24" i="12" s="1"/>
  <c r="J57" i="12" s="1"/>
  <c r="N91" i="43"/>
  <c r="N97" i="43" s="1"/>
  <c r="G156" i="12" s="1"/>
  <c r="I156" i="12" s="1"/>
  <c r="J156" i="12" s="1"/>
  <c r="K102" i="43"/>
  <c r="N84" i="41"/>
  <c r="N86" i="41" s="1"/>
  <c r="N87" i="41" s="1"/>
  <c r="I137" i="12" s="1"/>
  <c r="J137" i="12" s="1"/>
  <c r="H93" i="41"/>
  <c r="N121" i="41"/>
  <c r="N122" i="41"/>
  <c r="Q27" i="42"/>
  <c r="R27" i="42" s="1"/>
  <c r="N120" i="41"/>
  <c r="J37" i="42"/>
  <c r="J32" i="42"/>
  <c r="H198" i="43" l="1"/>
  <c r="N198" i="43" s="1"/>
  <c r="H218" i="43"/>
  <c r="N218" i="43" s="1"/>
  <c r="H158" i="43"/>
  <c r="N158" i="43" s="1"/>
  <c r="N171" i="43" s="1"/>
  <c r="H178" i="43"/>
  <c r="N178" i="43" s="1"/>
  <c r="H137" i="43"/>
  <c r="N137" i="43" s="1"/>
  <c r="N142" i="43" s="1"/>
  <c r="G164" i="12" s="1"/>
  <c r="I164" i="12" s="1"/>
  <c r="J164" i="12" s="1"/>
  <c r="N102" i="43"/>
  <c r="N108" i="43" s="1"/>
  <c r="G157" i="12" s="1"/>
  <c r="I157" i="12" s="1"/>
  <c r="J157" i="12" s="1"/>
  <c r="H127" i="43"/>
  <c r="N127" i="43" s="1"/>
  <c r="N132" i="43" s="1"/>
  <c r="G163" i="12" s="1"/>
  <c r="I163" i="12" s="1"/>
  <c r="J163" i="12" s="1"/>
  <c r="H113" i="43"/>
  <c r="N113" i="43" s="1"/>
  <c r="N121" i="43" s="1"/>
  <c r="I158" i="12" s="1"/>
  <c r="J158" i="12" s="1"/>
  <c r="H147" i="43"/>
  <c r="N147" i="43" s="1"/>
  <c r="N152" i="43" s="1"/>
  <c r="G165" i="12" s="1"/>
  <c r="I165" i="12" s="1"/>
  <c r="J165" i="12" s="1"/>
  <c r="H102" i="41"/>
  <c r="N102" i="41" s="1"/>
  <c r="N104" i="41" s="1"/>
  <c r="N105" i="41" s="1"/>
  <c r="I139" i="12" s="1"/>
  <c r="J139" i="12" s="1"/>
  <c r="N93" i="41"/>
  <c r="N95" i="41" s="1"/>
  <c r="N96" i="41" s="1"/>
  <c r="I138" i="12" s="1"/>
  <c r="J138" i="12" s="1"/>
  <c r="N128" i="41"/>
  <c r="N129" i="41" s="1"/>
  <c r="N130" i="41" s="1"/>
  <c r="I142" i="12" s="1"/>
  <c r="J142" i="12" s="1"/>
  <c r="Q37" i="42"/>
  <c r="R37" i="42" s="1"/>
  <c r="Q32" i="42"/>
  <c r="R32" i="42" s="1"/>
  <c r="N231" i="43" l="1"/>
  <c r="G149" i="12" s="1"/>
  <c r="I149" i="12" s="1"/>
  <c r="J149" i="12" s="1"/>
  <c r="N211" i="43"/>
  <c r="G148" i="12" s="1"/>
  <c r="I148" i="12" s="1"/>
  <c r="J148" i="12" s="1"/>
  <c r="N191" i="43"/>
  <c r="G147" i="12" s="1"/>
  <c r="I147" i="12" s="1"/>
  <c r="J147" i="12" s="1"/>
  <c r="G146" i="12"/>
  <c r="I146" i="12" s="1"/>
  <c r="J146" i="12" s="1"/>
  <c r="K33" i="12"/>
  <c r="L33" i="12" s="1"/>
  <c r="M33" i="12" s="1"/>
  <c r="B11" i="74" l="1"/>
  <c r="B18" i="11"/>
  <c r="B12" i="74"/>
  <c r="B19" i="11" l="1"/>
  <c r="B20" i="11" l="1"/>
  <c r="J63" i="12"/>
  <c r="J114" i="12" s="1"/>
  <c r="J120" i="12" s="1"/>
  <c r="J170" i="12" l="1"/>
  <c r="T16" i="42" s="1"/>
  <c r="B13" i="74"/>
  <c r="B13" i="41"/>
  <c r="B13" i="43" s="1"/>
  <c r="B14" i="41"/>
  <c r="B14" i="43" s="1"/>
  <c r="BI10" i="15" l="1"/>
  <c r="BI11" i="15" s="1"/>
  <c r="BI12" i="15" s="1"/>
  <c r="BK37" i="15"/>
  <c r="BQ34" i="15" l="1"/>
  <c r="BN34" i="15"/>
  <c r="BO34" i="15" s="1"/>
  <c r="BP34" i="15" s="1"/>
  <c r="BQ35" i="15"/>
  <c r="BN35" i="15"/>
  <c r="BO35" i="15" s="1"/>
  <c r="BP35" i="15" s="1"/>
  <c r="BQ36" i="15"/>
  <c r="BN36" i="15"/>
  <c r="BO36" i="15" s="1"/>
  <c r="BP36" i="15" s="1"/>
  <c r="BN33" i="15"/>
  <c r="BO33" i="15" s="1"/>
  <c r="BP33" i="15" s="1"/>
  <c r="BQ33" i="15" s="1"/>
  <c r="BQ32" i="15" s="1"/>
  <c r="BK38" i="15" s="1"/>
  <c r="BI22" i="15"/>
  <c r="BI14" i="15"/>
  <c r="BI13" i="15"/>
  <c r="K150" i="12" l="1"/>
  <c r="K151" i="12"/>
  <c r="BK16" i="15"/>
  <c r="BJ16" i="15"/>
  <c r="BI16" i="15"/>
  <c r="BJ15" i="15"/>
  <c r="BI15" i="15"/>
  <c r="BK15" i="15"/>
  <c r="BK17" i="15" l="1"/>
  <c r="BI17" i="15"/>
  <c r="BJ17" i="15"/>
  <c r="Q16" i="42" l="1"/>
  <c r="Q17" i="42" s="1"/>
  <c r="Q18" i="42" s="1"/>
  <c r="K149" i="12" s="1"/>
  <c r="L149" i="12" s="1"/>
  <c r="M149" i="12" s="1"/>
  <c r="K147" i="12" l="1"/>
  <c r="L147" i="12" s="1"/>
  <c r="M147" i="12" s="1"/>
  <c r="K148" i="12"/>
  <c r="L148" i="12" s="1"/>
  <c r="M148" i="12" s="1"/>
  <c r="K153" i="12"/>
  <c r="L153" i="12" s="1"/>
  <c r="M153" i="12" s="1"/>
  <c r="K146" i="12"/>
  <c r="L146" i="12" s="1"/>
  <c r="M146" i="12" s="1"/>
  <c r="K167" i="12"/>
  <c r="L167" i="12" s="1"/>
  <c r="M167" i="12" s="1"/>
  <c r="K168" i="12"/>
  <c r="L168" i="12" s="1"/>
  <c r="M168" i="12" s="1"/>
  <c r="K164" i="12"/>
  <c r="L164" i="12" s="1"/>
  <c r="M164" i="12" s="1"/>
  <c r="K165" i="12"/>
  <c r="L165" i="12" s="1"/>
  <c r="M165" i="12" s="1"/>
  <c r="K160" i="12"/>
  <c r="L160" i="12" s="1"/>
  <c r="M160" i="12" s="1"/>
  <c r="K161" i="12"/>
  <c r="L161" i="12" s="1"/>
  <c r="M161" i="12" s="1"/>
  <c r="K157" i="12"/>
  <c r="L157" i="12" s="1"/>
  <c r="M157" i="12" s="1"/>
  <c r="K159" i="12"/>
  <c r="L159" i="12" s="1"/>
  <c r="M159" i="12" s="1"/>
  <c r="K145" i="12"/>
  <c r="L145" i="12" s="1"/>
  <c r="M145" i="12" s="1"/>
  <c r="K152" i="12"/>
  <c r="L152" i="12" s="1"/>
  <c r="M152" i="12" s="1"/>
  <c r="K143" i="12"/>
  <c r="L143" i="12" s="1"/>
  <c r="M143" i="12" s="1"/>
  <c r="K144" i="12"/>
  <c r="L144" i="12" s="1"/>
  <c r="M144" i="12" s="1"/>
  <c r="K138" i="12"/>
  <c r="L138" i="12" s="1"/>
  <c r="M138" i="12" s="1"/>
  <c r="K139" i="12"/>
  <c r="L139" i="12" s="1"/>
  <c r="M139" i="12" s="1"/>
  <c r="K125" i="12"/>
  <c r="L125" i="12" s="1"/>
  <c r="M125" i="12" s="1"/>
  <c r="K126" i="12"/>
  <c r="L126" i="12" s="1"/>
  <c r="M126" i="12" s="1"/>
  <c r="K121" i="12"/>
  <c r="L121" i="12" s="1"/>
  <c r="M121" i="12" s="1"/>
  <c r="K122" i="12"/>
  <c r="L122" i="12" s="1"/>
  <c r="M122" i="12" s="1"/>
  <c r="K108" i="12"/>
  <c r="L108" i="12" s="1"/>
  <c r="M108" i="12" s="1"/>
  <c r="K97" i="12"/>
  <c r="L97" i="12" s="1"/>
  <c r="M97" i="12" s="1"/>
  <c r="K87" i="12"/>
  <c r="L87" i="12" s="1"/>
  <c r="M87" i="12" s="1"/>
  <c r="K96" i="12"/>
  <c r="L96" i="12" s="1"/>
  <c r="M96" i="12" s="1"/>
  <c r="K70" i="12"/>
  <c r="L70" i="12" s="1"/>
  <c r="M70" i="12" s="1"/>
  <c r="K98" i="12"/>
  <c r="L98" i="12" s="1"/>
  <c r="M98" i="12" s="1"/>
  <c r="K73" i="12"/>
  <c r="L73" i="12" s="1"/>
  <c r="M73" i="12" s="1"/>
  <c r="K91" i="12"/>
  <c r="L91" i="12" s="1"/>
  <c r="M91" i="12" s="1"/>
  <c r="K88" i="12"/>
  <c r="L88" i="12" s="1"/>
  <c r="M88" i="12" s="1"/>
  <c r="K66" i="12"/>
  <c r="L66" i="12" s="1"/>
  <c r="M66" i="12" s="1"/>
  <c r="K71" i="12"/>
  <c r="L71" i="12" s="1"/>
  <c r="M71" i="12" s="1"/>
  <c r="K101" i="12"/>
  <c r="L101" i="12" s="1"/>
  <c r="M101" i="12" s="1"/>
  <c r="K92" i="12"/>
  <c r="L92" i="12" s="1"/>
  <c r="M92" i="12" s="1"/>
  <c r="K81" i="12"/>
  <c r="L81" i="12" s="1"/>
  <c r="M81" i="12" s="1"/>
  <c r="K102" i="12"/>
  <c r="L102" i="12" s="1"/>
  <c r="M102" i="12" s="1"/>
  <c r="K99" i="12"/>
  <c r="L99" i="12" s="1"/>
  <c r="M99" i="12" s="1"/>
  <c r="K67" i="12"/>
  <c r="L67" i="12" s="1"/>
  <c r="M67" i="12" s="1"/>
  <c r="K78" i="12"/>
  <c r="L78" i="12" s="1"/>
  <c r="M78" i="12" s="1"/>
  <c r="K106" i="12"/>
  <c r="L106" i="12" s="1"/>
  <c r="M106" i="12" s="1"/>
  <c r="K90" i="12"/>
  <c r="L90" i="12" s="1"/>
  <c r="M90" i="12" s="1"/>
  <c r="K105" i="12"/>
  <c r="L105" i="12" s="1"/>
  <c r="M105" i="12" s="1"/>
  <c r="K76" i="12"/>
  <c r="L76" i="12" s="1"/>
  <c r="M76" i="12" s="1"/>
  <c r="K95" i="12"/>
  <c r="L95" i="12" s="1"/>
  <c r="M95" i="12" s="1"/>
  <c r="K103" i="12"/>
  <c r="L103" i="12" s="1"/>
  <c r="M103" i="12" s="1"/>
  <c r="K100" i="12"/>
  <c r="L100" i="12" s="1"/>
  <c r="M100" i="12" s="1"/>
  <c r="K68" i="12"/>
  <c r="L68" i="12" s="1"/>
  <c r="M68" i="12" s="1"/>
  <c r="K85" i="12"/>
  <c r="L85" i="12" s="1"/>
  <c r="M85" i="12" s="1"/>
  <c r="K89" i="12"/>
  <c r="L89" i="12" s="1"/>
  <c r="M89" i="12" s="1"/>
  <c r="K109" i="12"/>
  <c r="L109" i="12" s="1"/>
  <c r="M109" i="12" s="1"/>
  <c r="K104" i="12"/>
  <c r="L104" i="12" s="1"/>
  <c r="M104" i="12" s="1"/>
  <c r="K72" i="12"/>
  <c r="L72" i="12" s="1"/>
  <c r="M72" i="12" s="1"/>
  <c r="K93" i="12"/>
  <c r="L93" i="12" s="1"/>
  <c r="M93" i="12" s="1"/>
  <c r="K110" i="12"/>
  <c r="L110" i="12" s="1"/>
  <c r="M110" i="12" s="1"/>
  <c r="K69" i="12"/>
  <c r="L69" i="12" s="1"/>
  <c r="M69" i="12" s="1"/>
  <c r="K84" i="12"/>
  <c r="L84" i="12" s="1"/>
  <c r="M84" i="12" s="1"/>
  <c r="K74" i="12"/>
  <c r="L74" i="12" s="1"/>
  <c r="M74" i="12" s="1"/>
  <c r="K94" i="12"/>
  <c r="L94" i="12" s="1"/>
  <c r="M94" i="12" s="1"/>
  <c r="K75" i="12"/>
  <c r="L75" i="12" s="1"/>
  <c r="M75" i="12" s="1"/>
  <c r="K107" i="12"/>
  <c r="L107" i="12" s="1"/>
  <c r="M107" i="12" s="1"/>
  <c r="K82" i="12"/>
  <c r="L82" i="12" s="1"/>
  <c r="M82" i="12" s="1"/>
  <c r="K83" i="12"/>
  <c r="L83" i="12" s="1"/>
  <c r="M83" i="12" s="1"/>
  <c r="K56" i="12"/>
  <c r="L56" i="12" s="1"/>
  <c r="M56" i="12" s="1"/>
  <c r="K65" i="12"/>
  <c r="L65" i="12" s="1"/>
  <c r="M65" i="12" s="1"/>
  <c r="K52" i="12"/>
  <c r="L52" i="12" s="1"/>
  <c r="M52" i="12" s="1"/>
  <c r="K55" i="12"/>
  <c r="L55" i="12" s="1"/>
  <c r="M55" i="12" s="1"/>
  <c r="K53" i="12"/>
  <c r="L53" i="12" s="1"/>
  <c r="M53" i="12" s="1"/>
  <c r="K49" i="12"/>
  <c r="L49" i="12" s="1"/>
  <c r="M49" i="12" s="1"/>
  <c r="K50" i="12"/>
  <c r="L50" i="12" s="1"/>
  <c r="M50" i="12" s="1"/>
  <c r="K46" i="12"/>
  <c r="L46" i="12" s="1"/>
  <c r="M46" i="12" s="1"/>
  <c r="K48" i="12"/>
  <c r="L48" i="12" s="1"/>
  <c r="M48" i="12" s="1"/>
  <c r="K38" i="12"/>
  <c r="L38" i="12" s="1"/>
  <c r="M38" i="12" s="1"/>
  <c r="K44" i="12"/>
  <c r="L44" i="12" s="1"/>
  <c r="M44" i="12" s="1"/>
  <c r="K142" i="12"/>
  <c r="L142" i="12" s="1"/>
  <c r="M142" i="12" s="1"/>
  <c r="K64" i="12"/>
  <c r="L64" i="12" s="1"/>
  <c r="K7" i="12"/>
  <c r="L7" i="12" s="1"/>
  <c r="K26" i="12"/>
  <c r="L26" i="12" s="1"/>
  <c r="L151" i="12"/>
  <c r="M151" i="12" s="1"/>
  <c r="K9" i="12"/>
  <c r="L9" i="12" s="1"/>
  <c r="K132" i="12"/>
  <c r="L132" i="12" s="1"/>
  <c r="G58" i="34" s="1"/>
  <c r="J58" i="34" s="1"/>
  <c r="L150" i="12"/>
  <c r="K131" i="12"/>
  <c r="L131" i="12" s="1"/>
  <c r="K129" i="12"/>
  <c r="L129" i="12" s="1"/>
  <c r="K128" i="12"/>
  <c r="L128" i="12" s="1"/>
  <c r="K124" i="12"/>
  <c r="L124" i="12" s="1"/>
  <c r="K169" i="12"/>
  <c r="L169" i="12" s="1"/>
  <c r="M169" i="12" s="1"/>
  <c r="K51" i="12"/>
  <c r="L51" i="12" s="1"/>
  <c r="K32" i="12"/>
  <c r="L32" i="12" s="1"/>
  <c r="M32" i="12" s="1"/>
  <c r="K29" i="12"/>
  <c r="L29" i="12" s="1"/>
  <c r="M29" i="12" s="1"/>
  <c r="K18" i="12"/>
  <c r="L18" i="12" s="1"/>
  <c r="K17" i="12"/>
  <c r="L17" i="12" s="1"/>
  <c r="K162" i="12"/>
  <c r="L162" i="12" s="1"/>
  <c r="K22" i="12"/>
  <c r="L22" i="12" s="1"/>
  <c r="K25" i="12"/>
  <c r="L25" i="12" s="1"/>
  <c r="K158" i="12"/>
  <c r="L158" i="12" s="1"/>
  <c r="K163" i="12"/>
  <c r="L163" i="12" s="1"/>
  <c r="M163" i="12" s="1"/>
  <c r="K141" i="12"/>
  <c r="L141" i="12" s="1"/>
  <c r="K154" i="12"/>
  <c r="L154" i="12" s="1"/>
  <c r="K13" i="12"/>
  <c r="L13" i="12" s="1"/>
  <c r="K137" i="12"/>
  <c r="L137" i="12" s="1"/>
  <c r="K136" i="12"/>
  <c r="L136" i="12" s="1"/>
  <c r="K156" i="12"/>
  <c r="L156" i="12" s="1"/>
  <c r="K10" i="12"/>
  <c r="L10" i="12" s="1"/>
  <c r="K11" i="12"/>
  <c r="L11" i="12" s="1"/>
  <c r="K127" i="12"/>
  <c r="L127" i="12" s="1"/>
  <c r="K79" i="12"/>
  <c r="L79" i="12" s="1"/>
  <c r="K130" i="12"/>
  <c r="L130" i="12" s="1"/>
  <c r="G56" i="34" s="1"/>
  <c r="J56" i="34" s="1"/>
  <c r="K123" i="12"/>
  <c r="L123" i="12" s="1"/>
  <c r="K80" i="12"/>
  <c r="L80" i="12" s="1"/>
  <c r="K86" i="12"/>
  <c r="L86" i="12" s="1"/>
  <c r="K43" i="12"/>
  <c r="L43" i="12" s="1"/>
  <c r="K47" i="12"/>
  <c r="L47" i="12" s="1"/>
  <c r="K16" i="12"/>
  <c r="L16" i="12" s="1"/>
  <c r="K41" i="12"/>
  <c r="L41" i="12" s="1"/>
  <c r="K36" i="12"/>
  <c r="L36" i="12" s="1"/>
  <c r="K37" i="12"/>
  <c r="L37" i="12" s="1"/>
  <c r="K135" i="12"/>
  <c r="L135" i="12" s="1"/>
  <c r="K19" i="12"/>
  <c r="L19" i="12" s="1"/>
  <c r="K14" i="12"/>
  <c r="L14" i="12" s="1"/>
  <c r="K112" i="12"/>
  <c r="L112" i="12" s="1"/>
  <c r="G55" i="34" s="1"/>
  <c r="J55" i="34" s="1"/>
  <c r="K155" i="12"/>
  <c r="L155" i="12" s="1"/>
  <c r="K12" i="12"/>
  <c r="L12" i="12" s="1"/>
  <c r="X16" i="42"/>
  <c r="K111" i="12"/>
  <c r="L111" i="12" s="1"/>
  <c r="G54" i="34" s="1"/>
  <c r="K35" i="12"/>
  <c r="L35" i="12" s="1"/>
  <c r="K21" i="12"/>
  <c r="L21" i="12" s="1"/>
  <c r="G18" i="34" s="1"/>
  <c r="K15" i="12"/>
  <c r="L15" i="12" s="1"/>
  <c r="K31" i="12"/>
  <c r="L31" i="12" s="1"/>
  <c r="K54" i="12"/>
  <c r="L54" i="12" s="1"/>
  <c r="G51" i="34" s="1"/>
  <c r="K8" i="12"/>
  <c r="L8" i="12" s="1"/>
  <c r="G6" i="34" s="1"/>
  <c r="G9" i="34" s="1"/>
  <c r="G12" i="34" s="1"/>
  <c r="K42" i="12"/>
  <c r="L42" i="12" s="1"/>
  <c r="K24" i="12"/>
  <c r="L24" i="12" s="1"/>
  <c r="G19" i="34" s="1"/>
  <c r="K113" i="12"/>
  <c r="L113" i="12" s="1"/>
  <c r="G53" i="34" s="1"/>
  <c r="K28" i="12"/>
  <c r="L28" i="12" s="1"/>
  <c r="K77" i="12"/>
  <c r="L77" i="12" s="1"/>
  <c r="G52" i="34" s="1"/>
  <c r="G10" i="34" l="1"/>
  <c r="G13" i="34" s="1"/>
  <c r="G16" i="34" s="1"/>
  <c r="H16" i="34" s="1"/>
  <c r="I16" i="34" s="1"/>
  <c r="J16" i="34" s="1"/>
  <c r="G7" i="34"/>
  <c r="G22" i="34"/>
  <c r="H19" i="34"/>
  <c r="I19" i="34" s="1"/>
  <c r="J19" i="34" s="1"/>
  <c r="T17" i="42"/>
  <c r="X17" i="42" s="1"/>
  <c r="T18" i="42"/>
  <c r="M9" i="12"/>
  <c r="M64" i="12"/>
  <c r="J53" i="34"/>
  <c r="M26" i="12"/>
  <c r="G15" i="34"/>
  <c r="J52" i="34"/>
  <c r="M7" i="12"/>
  <c r="M150" i="12"/>
  <c r="I19" i="32" s="1"/>
  <c r="M141" i="12"/>
  <c r="M77" i="12"/>
  <c r="M132" i="12"/>
  <c r="M124" i="12"/>
  <c r="M128" i="12"/>
  <c r="M51" i="12"/>
  <c r="J54" i="34"/>
  <c r="M129" i="12"/>
  <c r="M131" i="12"/>
  <c r="J57" i="34"/>
  <c r="J51" i="34"/>
  <c r="M135" i="12"/>
  <c r="M31" i="12"/>
  <c r="M137" i="12"/>
  <c r="M162" i="12"/>
  <c r="M158" i="12"/>
  <c r="M17" i="12"/>
  <c r="M136" i="12"/>
  <c r="M22" i="12"/>
  <c r="M28" i="12"/>
  <c r="M156" i="12"/>
  <c r="M154" i="12"/>
  <c r="M25" i="12"/>
  <c r="M11" i="12"/>
  <c r="M14" i="12"/>
  <c r="M10" i="12"/>
  <c r="M13" i="12"/>
  <c r="M12" i="12"/>
  <c r="M18" i="12"/>
  <c r="J44" i="34" s="1"/>
  <c r="M127" i="12"/>
  <c r="M54" i="12"/>
  <c r="M79" i="12"/>
  <c r="M43" i="12"/>
  <c r="M86" i="12"/>
  <c r="M47" i="12"/>
  <c r="M41" i="12"/>
  <c r="M16" i="12"/>
  <c r="M80" i="12"/>
  <c r="M130" i="12"/>
  <c r="AB16" i="42" s="1"/>
  <c r="M123" i="12"/>
  <c r="M19" i="12"/>
  <c r="M37" i="12"/>
  <c r="G49" i="34"/>
  <c r="J49" i="34" s="1"/>
  <c r="M36" i="12"/>
  <c r="M112" i="12"/>
  <c r="M155" i="12"/>
  <c r="Z18" i="42"/>
  <c r="M8" i="12"/>
  <c r="M21" i="12"/>
  <c r="M113" i="12"/>
  <c r="G48" i="34"/>
  <c r="J48" i="34" s="1"/>
  <c r="M35" i="12"/>
  <c r="M24" i="12"/>
  <c r="M111" i="12"/>
  <c r="M42" i="12"/>
  <c r="M15" i="12"/>
  <c r="G25" i="34" l="1"/>
  <c r="H25" i="34" s="1"/>
  <c r="I25" i="34" s="1"/>
  <c r="J25" i="34" s="1"/>
  <c r="H22" i="34"/>
  <c r="I22" i="34" s="1"/>
  <c r="J22" i="34" s="1"/>
  <c r="H18" i="34"/>
  <c r="I18" i="34" s="1"/>
  <c r="I20" i="34" s="1"/>
  <c r="G21" i="34"/>
  <c r="I17" i="70"/>
  <c r="H10" i="34"/>
  <c r="H13" i="34"/>
  <c r="I13" i="34" s="1"/>
  <c r="J13" i="34" s="1"/>
  <c r="H9" i="34"/>
  <c r="H12" i="34"/>
  <c r="X18" i="42"/>
  <c r="I21" i="32" s="1"/>
  <c r="I19" i="70" s="1"/>
  <c r="M57" i="12"/>
  <c r="H7" i="34"/>
  <c r="H6" i="34"/>
  <c r="G28" i="34" l="1"/>
  <c r="G31" i="34" s="1"/>
  <c r="H31" i="34" s="1"/>
  <c r="I31" i="34" s="1"/>
  <c r="J31" i="34" s="1"/>
  <c r="G24" i="34"/>
  <c r="H24" i="34" s="1"/>
  <c r="I24" i="34" s="1"/>
  <c r="J24" i="34" s="1"/>
  <c r="H20" i="34"/>
  <c r="H21" i="34"/>
  <c r="I21" i="34" s="1"/>
  <c r="I23" i="34" s="1"/>
  <c r="I10" i="34"/>
  <c r="J10" i="34" s="1"/>
  <c r="I12" i="34"/>
  <c r="I14" i="34" s="1"/>
  <c r="H14" i="34"/>
  <c r="I9" i="34"/>
  <c r="H11" i="34"/>
  <c r="J18" i="34"/>
  <c r="F50" i="72"/>
  <c r="AB17" i="42"/>
  <c r="H8" i="34"/>
  <c r="I6" i="34"/>
  <c r="I7" i="34"/>
  <c r="J7" i="34" s="1"/>
  <c r="F60" i="72"/>
  <c r="G34" i="34" l="1"/>
  <c r="G37" i="34" s="1"/>
  <c r="J20" i="34"/>
  <c r="J43" i="34"/>
  <c r="I26" i="34"/>
  <c r="G27" i="34"/>
  <c r="G30" i="34" s="1"/>
  <c r="H26" i="34"/>
  <c r="H23" i="34"/>
  <c r="I11" i="34"/>
  <c r="J12" i="34"/>
  <c r="J9" i="34"/>
  <c r="J21" i="34"/>
  <c r="I48" i="34"/>
  <c r="F164" i="72" s="1"/>
  <c r="I164" i="72" s="1"/>
  <c r="F17" i="72"/>
  <c r="J6" i="34"/>
  <c r="I8" i="34"/>
  <c r="H28" i="34"/>
  <c r="F70" i="72"/>
  <c r="H34" i="34" l="1"/>
  <c r="I34" i="34" s="1"/>
  <c r="J34" i="34" s="1"/>
  <c r="J8" i="34"/>
  <c r="G40" i="34"/>
  <c r="H40" i="34" s="1"/>
  <c r="H37" i="34"/>
  <c r="G33" i="34"/>
  <c r="H30" i="34"/>
  <c r="I30" i="34" s="1"/>
  <c r="J30" i="34" s="1"/>
  <c r="F23" i="72"/>
  <c r="J11" i="34"/>
  <c r="J23" i="34"/>
  <c r="J14" i="34"/>
  <c r="J26" i="34"/>
  <c r="I28" i="34"/>
  <c r="J28" i="34" s="1"/>
  <c r="I70" i="72"/>
  <c r="F80" i="72"/>
  <c r="H15" i="34"/>
  <c r="H17" i="34" s="1"/>
  <c r="I50" i="72"/>
  <c r="I17" i="72"/>
  <c r="I40" i="34" l="1"/>
  <c r="J40" i="34" s="1"/>
  <c r="G36" i="34"/>
  <c r="H33" i="34"/>
  <c r="I37" i="34"/>
  <c r="J37" i="34" s="1"/>
  <c r="I80" i="72"/>
  <c r="I23" i="72"/>
  <c r="F29" i="72"/>
  <c r="I15" i="34"/>
  <c r="I17" i="34" s="1"/>
  <c r="I60" i="72"/>
  <c r="J46" i="34" l="1"/>
  <c r="G39" i="34"/>
  <c r="H39" i="34" s="1"/>
  <c r="H36" i="34"/>
  <c r="H35" i="34"/>
  <c r="I33" i="34"/>
  <c r="I35" i="34" s="1"/>
  <c r="F93" i="72"/>
  <c r="I93" i="72" s="1"/>
  <c r="F90" i="72"/>
  <c r="F35" i="72"/>
  <c r="I35" i="72" s="1"/>
  <c r="J15" i="34"/>
  <c r="J42" i="34" s="1"/>
  <c r="I42" i="34" s="1"/>
  <c r="F41" i="72"/>
  <c r="I41" i="72" s="1"/>
  <c r="I29" i="72"/>
  <c r="H41" i="34" l="1"/>
  <c r="I39" i="34"/>
  <c r="I41" i="34" s="1"/>
  <c r="J33" i="34"/>
  <c r="J35" i="34" s="1"/>
  <c r="H38" i="34"/>
  <c r="I36" i="34"/>
  <c r="I38" i="34" s="1"/>
  <c r="J17" i="34"/>
  <c r="I90" i="72"/>
  <c r="F87" i="72"/>
  <c r="I87" i="72" s="1"/>
  <c r="F103" i="72"/>
  <c r="I103" i="72" s="1"/>
  <c r="F100" i="72"/>
  <c r="J36" i="34" l="1"/>
  <c r="J38" i="34" s="1"/>
  <c r="J39" i="34"/>
  <c r="J41" i="34" s="1"/>
  <c r="F53" i="72"/>
  <c r="F150" i="72"/>
  <c r="I150" i="72" s="1"/>
  <c r="F123" i="72"/>
  <c r="F113" i="72"/>
  <c r="I113" i="72" s="1"/>
  <c r="I100" i="72"/>
  <c r="F97" i="72"/>
  <c r="I97" i="72" s="1"/>
  <c r="F110" i="72"/>
  <c r="F47" i="72" l="1"/>
  <c r="I47" i="72" s="1"/>
  <c r="I53" i="72"/>
  <c r="F63" i="72"/>
  <c r="F133" i="72"/>
  <c r="I133" i="72" s="1"/>
  <c r="F120" i="72"/>
  <c r="I120" i="72" s="1"/>
  <c r="I123" i="72"/>
  <c r="F143" i="72"/>
  <c r="I143" i="72" s="1"/>
  <c r="I110" i="72"/>
  <c r="F107" i="72"/>
  <c r="I107" i="72" s="1"/>
  <c r="F83" i="72" l="1"/>
  <c r="F73" i="72"/>
  <c r="F57" i="72"/>
  <c r="I57" i="72" s="1"/>
  <c r="I63" i="72"/>
  <c r="F130" i="72"/>
  <c r="F117" i="72"/>
  <c r="I117" i="72" s="1"/>
  <c r="I83" i="72" l="1"/>
  <c r="F77" i="72"/>
  <c r="I77" i="72" s="1"/>
  <c r="I73" i="72"/>
  <c r="F67" i="72"/>
  <c r="I67" i="72" s="1"/>
  <c r="F160" i="72"/>
  <c r="I160" i="72" s="1"/>
  <c r="F140" i="72"/>
  <c r="I130" i="72"/>
  <c r="F127" i="72"/>
  <c r="I127" i="72" s="1"/>
  <c r="M63" i="12"/>
  <c r="F156" i="72" l="1"/>
  <c r="I156" i="72" s="1"/>
  <c r="F137" i="72"/>
  <c r="I137" i="72" s="1"/>
  <c r="I140" i="72"/>
  <c r="M114" i="12"/>
  <c r="M120" i="12" s="1"/>
  <c r="M170" i="12" s="1"/>
  <c r="I18" i="32" l="1"/>
  <c r="I23" i="32" s="1"/>
  <c r="I24" i="32" s="1"/>
  <c r="I16" i="70" l="1"/>
  <c r="I21" i="70" s="1"/>
  <c r="B25" i="32"/>
  <c r="H27" i="34"/>
  <c r="I27" i="34" s="1"/>
  <c r="I29" i="34" s="1"/>
  <c r="I22" i="70" l="1"/>
  <c r="B23" i="70" s="1"/>
  <c r="G19" i="71"/>
  <c r="O19" i="32"/>
  <c r="O20" i="32" s="1"/>
  <c r="D27" i="32"/>
  <c r="H32" i="34"/>
  <c r="J27" i="34"/>
  <c r="J45" i="34" s="1"/>
  <c r="H29" i="34"/>
  <c r="J29" i="34" l="1"/>
  <c r="I32" i="34"/>
  <c r="J32" i="34" l="1"/>
  <c r="J59" i="34" l="1"/>
  <c r="H60" i="34" s="1"/>
  <c r="K35" i="34" l="1"/>
  <c r="K38" i="34"/>
  <c r="K41" i="34"/>
  <c r="K32" i="34"/>
  <c r="F147" i="72"/>
  <c r="I147" i="72" s="1"/>
  <c r="K11" i="34" l="1"/>
  <c r="K29" i="34"/>
  <c r="F10" i="72"/>
  <c r="D11" i="72" s="1"/>
  <c r="K23" i="34"/>
  <c r="K26" i="34"/>
  <c r="K20" i="34"/>
  <c r="K59" i="34"/>
  <c r="K8" i="34"/>
  <c r="K14" i="34"/>
  <c r="K17" i="34"/>
  <c r="K60" i="34" l="1"/>
</calcChain>
</file>

<file path=xl/comments1.xml><?xml version="1.0" encoding="utf-8"?>
<comments xmlns="http://schemas.openxmlformats.org/spreadsheetml/2006/main">
  <authors>
    <author>Wanlop</author>
  </authors>
  <commentList>
    <comment ref="A7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A8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A9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A20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A21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A41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  <comment ref="B67" authorId="0">
      <text>
        <r>
          <rPr>
            <sz val="10"/>
            <color indexed="10"/>
            <rFont val="Tahoma"/>
            <family val="2"/>
          </rPr>
          <t>กรอกข้อมูลกิโลเมตรโดยไม่ต้องใส่เครื่องหมาย เช่น
8700</t>
        </r>
      </text>
    </comment>
  </commentList>
</comments>
</file>

<file path=xl/comments2.xml><?xml version="1.0" encoding="utf-8"?>
<comments xmlns="http://schemas.openxmlformats.org/spreadsheetml/2006/main">
  <authors>
    <author>Wanlop</author>
  </authors>
  <commentList>
    <comment ref="B8" authorId="0">
      <text>
        <r>
          <rPr>
            <sz val="12"/>
            <color indexed="10"/>
            <rFont val="Tahoma"/>
            <family val="2"/>
          </rPr>
          <t xml:space="preserve">กรอกข้อมูลกิโลเมตรโดยไม่ต้องใส่เครื่องหมาย เช่น 8700 </t>
        </r>
      </text>
    </comment>
  </commentList>
</comments>
</file>

<file path=xl/comments3.xml><?xml version="1.0" encoding="utf-8"?>
<comments xmlns="http://schemas.openxmlformats.org/spreadsheetml/2006/main">
  <authors>
    <author>Administrators</author>
  </authors>
  <commentList>
    <comment ref="E135" authorId="0">
      <text>
        <r>
          <rPr>
            <b/>
            <sz val="16"/>
            <color indexed="10"/>
            <rFont val="TH SarabunPSK"/>
            <family val="2"/>
          </rPr>
          <t>ความยาว ทั้งหมดไม่ใช่จำนวนท่อน</t>
        </r>
      </text>
    </comment>
    <comment ref="E136" authorId="0">
      <text>
        <r>
          <rPr>
            <b/>
            <sz val="16"/>
            <color indexed="10"/>
            <rFont val="TH SarabunPSK"/>
            <family val="2"/>
          </rPr>
          <t>ความยาว ทั้งหมดไม่ใช่จำนวนท่อน</t>
        </r>
      </text>
    </comment>
    <comment ref="E137" authorId="0">
      <text>
        <r>
          <rPr>
            <b/>
            <sz val="16"/>
            <color indexed="10"/>
            <rFont val="TH SarabunPSK"/>
            <family val="2"/>
          </rPr>
          <t>ความยาว ทั้งหมดไม่ใช่จำนวนท่อน</t>
        </r>
      </text>
    </comment>
    <comment ref="E138" authorId="0">
      <text>
        <r>
          <rPr>
            <b/>
            <sz val="16"/>
            <color indexed="10"/>
            <rFont val="TH SarabunPSK"/>
            <family val="2"/>
          </rPr>
          <t>ความยาว ทั้งหมดไม่ใช่จำนวนท่อน</t>
        </r>
      </text>
    </comment>
    <comment ref="E139" authorId="0">
      <text>
        <r>
          <rPr>
            <b/>
            <sz val="16"/>
            <color indexed="10"/>
            <rFont val="TH SarabunPSK"/>
            <family val="2"/>
          </rPr>
          <t>ความยาว ทั้งหมดไม่ใช่จำนวนท่อน</t>
        </r>
      </text>
    </comment>
  </commentList>
</comments>
</file>

<file path=xl/sharedStrings.xml><?xml version="1.0" encoding="utf-8"?>
<sst xmlns="http://schemas.openxmlformats.org/spreadsheetml/2006/main" count="7127" uniqueCount="2141">
  <si>
    <t>ที่</t>
  </si>
  <si>
    <t>รายการ</t>
  </si>
  <si>
    <t>Factor F</t>
  </si>
  <si>
    <t>บาท/ลบ.ม.</t>
  </si>
  <si>
    <t>ระยะขนส่ง</t>
  </si>
  <si>
    <t xml:space="preserve"> =</t>
  </si>
  <si>
    <t xml:space="preserve">ระยะขนส่ง                  </t>
  </si>
  <si>
    <t>ลูกรัง</t>
  </si>
  <si>
    <t>บาท/ตัน</t>
  </si>
  <si>
    <t xml:space="preserve"> บาท/ตัน</t>
  </si>
  <si>
    <t xml:space="preserve">ระยะขนส่ง      </t>
  </si>
  <si>
    <t xml:space="preserve">ระยะขนส่ง        </t>
  </si>
  <si>
    <t xml:space="preserve">ระยะขนส่ง       </t>
  </si>
  <si>
    <t>รายการราคาค่างานต่อหน่วย</t>
  </si>
  <si>
    <t>=</t>
  </si>
  <si>
    <t xml:space="preserve"> บาท/ตร.ม.</t>
  </si>
  <si>
    <t xml:space="preserve">        ผิวทาง (ขนทิ้ง)</t>
  </si>
  <si>
    <t>ค่าตัวแปร</t>
  </si>
  <si>
    <t xml:space="preserve"> บาท/ลบ.ม.</t>
  </si>
  <si>
    <t>หมายเหตุ</t>
  </si>
  <si>
    <t>บาท / ลิตร</t>
  </si>
  <si>
    <t>ระยะทาง</t>
  </si>
  <si>
    <t>จำนวน</t>
  </si>
  <si>
    <t>หน่วย</t>
  </si>
  <si>
    <t>ราคาวัสดุ-ค่าแรง-ต่อหน่วย</t>
  </si>
  <si>
    <t>จำนวนเงิน</t>
  </si>
  <si>
    <t>วัสดุ</t>
  </si>
  <si>
    <t>ค่าแรง</t>
  </si>
  <si>
    <t>รวม</t>
  </si>
  <si>
    <t>(บาท)</t>
  </si>
  <si>
    <t>งานปรับปรุงโครงสร้างทาง</t>
  </si>
  <si>
    <t>ตร.ม.</t>
  </si>
  <si>
    <t>ลบ.ม.</t>
  </si>
  <si>
    <t>งานผิวทาง</t>
  </si>
  <si>
    <t xml:space="preserve"> -  Asphaltic  Concrete  (ปูบน Prime  Coat)</t>
  </si>
  <si>
    <t xml:space="preserve"> -  Asphaltic  Concrete  (ปูบน Tack  Coat)</t>
  </si>
  <si>
    <t>งานตีเส้นจราจร</t>
  </si>
  <si>
    <t>งานจราจรสงเคราะห์</t>
  </si>
  <si>
    <t>ชุด</t>
  </si>
  <si>
    <t>หลัก</t>
  </si>
  <si>
    <t>กม.</t>
  </si>
  <si>
    <t xml:space="preserve">   รายการ</t>
  </si>
  <si>
    <t xml:space="preserve"> ซม.</t>
  </si>
  <si>
    <t>บาท</t>
  </si>
  <si>
    <t>งานผิวไหล่ทาง</t>
  </si>
  <si>
    <t xml:space="preserve">สถานที่ตั้ง </t>
  </si>
  <si>
    <t>ม. )</t>
  </si>
  <si>
    <t>เมตร</t>
  </si>
  <si>
    <t xml:space="preserve">หินคลุก      </t>
  </si>
  <si>
    <t xml:space="preserve"> บาท/ลบ.ม.(หลวม)</t>
  </si>
  <si>
    <t>ความหนา</t>
  </si>
  <si>
    <t xml:space="preserve"> ตร.ม./ตัน )</t>
  </si>
  <si>
    <t>A =   ราคายางแอสฟัลท์ (AC 60 - 70 ) ที่ แหล่งบวกด้วยค่าขนส่งถึงที่ตั้งโรงงานผสมแอสฟัลติกคอนกรีต (บาท/ตัน)</t>
  </si>
  <si>
    <t>B  =  ราคาหินปากโม่บวกด้วยค่าขนส่งจากปากโม่ ถึงที่ตั้งโรงงานผสมแอสฟัลติกคอนกรีต หรือจุดกองรวม (บาท/ลบ.ม.)</t>
  </si>
  <si>
    <t xml:space="preserve"> บาท/ลบ.ม.(แน่น)</t>
  </si>
  <si>
    <t>ค่าบรรทุก</t>
  </si>
  <si>
    <t xml:space="preserve">น้ำมันโซล่าเฉลี่ย </t>
  </si>
  <si>
    <t>บาท/ลิตร</t>
  </si>
  <si>
    <t>หินฝุ่น</t>
  </si>
  <si>
    <t>(งบประมาณ 100 %) ดอกเบี้ยเงินกู้</t>
  </si>
  <si>
    <t>%</t>
  </si>
  <si>
    <t>ค่าขนส่งหิน</t>
  </si>
  <si>
    <t>เงินล่วงหน้าจ่าย</t>
  </si>
  <si>
    <t xml:space="preserve">ค่าขนส่งยาง  </t>
  </si>
  <si>
    <t>ดอกเบี้ยเงินฝาก</t>
  </si>
  <si>
    <t>เงินประกันผลงาน</t>
  </si>
  <si>
    <t>ภาษีมูลค่าเพิ่ม ( VAT )</t>
  </si>
  <si>
    <t>ราคาน้ำมันโซล่าเฉลี่ย</t>
  </si>
  <si>
    <t>ฝนตกชุก</t>
  </si>
  <si>
    <t>ตารางสรุปค่าดำเนินการและค่าเสื่อมราคา</t>
  </si>
  <si>
    <t>รวมค่างาน (บาท)</t>
  </si>
  <si>
    <t>ปกติ</t>
  </si>
  <si>
    <t xml:space="preserve"> 1. วัสดุคัดเลือก ลูกรังรองพื้นทาง</t>
  </si>
  <si>
    <t xml:space="preserve">           ขุด-ขน</t>
  </si>
  <si>
    <t>ลบ.ม.(หลวม)</t>
  </si>
  <si>
    <t xml:space="preserve">           ผสม (ผสมกับวัสดุอื่น  ๆ)</t>
  </si>
  <si>
    <t>ลบ.ม.(แน่น)</t>
  </si>
  <si>
    <t xml:space="preserve">           บดทับ</t>
  </si>
  <si>
    <t xml:space="preserve"> 2. งานพื้นทาง (หินคลุก)</t>
  </si>
  <si>
    <t xml:space="preserve">           ผสม  (Blend)</t>
  </si>
  <si>
    <t xml:space="preserve"> 3. งานขุดรื้อคันทางเดิมแล้วบดทับ</t>
  </si>
  <si>
    <t xml:space="preserve">           ลูกรัง       10  ซม.</t>
  </si>
  <si>
    <t xml:space="preserve">           หินคลุก    10  ซม.</t>
  </si>
  <si>
    <t xml:space="preserve">           ผิว AC  5  ซม. (ขนทิ้ง)</t>
  </si>
  <si>
    <t xml:space="preserve"> 4. งานราดยางไพร์มโค้ท</t>
  </si>
  <si>
    <t xml:space="preserve"> 5. งานราดยางแทคโค้ท</t>
  </si>
  <si>
    <t xml:space="preserve"> 6. งานผิวทางแอสฟัลติกคอนกรีต</t>
  </si>
  <si>
    <t>ตัน</t>
  </si>
  <si>
    <t>7. ค่าแรงงาน  Cape Seal</t>
  </si>
  <si>
    <t xml:space="preserve">           Chip  Seal</t>
  </si>
  <si>
    <t>ตร.ม</t>
  </si>
  <si>
    <t xml:space="preserve">            Fog   Spray</t>
  </si>
  <si>
    <t xml:space="preserve">            Slurry  Seal</t>
  </si>
  <si>
    <t>FACTOR D</t>
  </si>
  <si>
    <t>ความหนา(มม.)</t>
  </si>
  <si>
    <t>Factor สำหรับงานบำรุงทาง (สำหรับงานซ่อมสร้างผิวลาดยาง)</t>
  </si>
  <si>
    <t>ตาราง FACTOR F งานทาง</t>
  </si>
  <si>
    <t>ระยะเวลาการเบิกจ่าย</t>
  </si>
  <si>
    <t xml:space="preserve">  เดือน</t>
  </si>
  <si>
    <t>คำนวนค่า Factor F</t>
  </si>
  <si>
    <t>ค่างาน(ทุน)</t>
  </si>
  <si>
    <t>เวลาทำการ</t>
  </si>
  <si>
    <t>ค่า</t>
  </si>
  <si>
    <t>ดอก</t>
  </si>
  <si>
    <t>กำไร</t>
  </si>
  <si>
    <t>รวมในรูป</t>
  </si>
  <si>
    <t xml:space="preserve">ภาษี </t>
  </si>
  <si>
    <t>ล้านบาท</t>
  </si>
  <si>
    <t>เดือน</t>
  </si>
  <si>
    <t>อำนวยการ</t>
  </si>
  <si>
    <t>เบี้ย</t>
  </si>
  <si>
    <t>Factor</t>
  </si>
  <si>
    <t>(ปกติ)</t>
  </si>
  <si>
    <t>รถบรรทุกสิบล้อ + รถลากพ่วง</t>
  </si>
  <si>
    <t>บาท/ตร.ม.</t>
  </si>
  <si>
    <t xml:space="preserve">  - ค่าวัสดุที่แหล่ง</t>
  </si>
  <si>
    <t xml:space="preserve">  - ค่าเสื่อมราคาขุดตัก</t>
  </si>
  <si>
    <t xml:space="preserve">  - ค่าขนส่ง</t>
  </si>
  <si>
    <t xml:space="preserve">  - ค่าเสื่อมราคาบดทับ</t>
  </si>
  <si>
    <t>แห่ง</t>
  </si>
  <si>
    <t>ปุ่ม</t>
  </si>
  <si>
    <t>ยาง CSS-1</t>
  </si>
  <si>
    <t>ยาง AC 60-70</t>
  </si>
  <si>
    <t>ยาง CRS-2</t>
  </si>
  <si>
    <t>หิน3/4"</t>
  </si>
  <si>
    <t>หิน1/2"</t>
  </si>
  <si>
    <t>หิน3/8"</t>
  </si>
  <si>
    <t>หินผสมแอสฟัลต์</t>
  </si>
  <si>
    <t>ข้อมูลแหล่งวัสดุและระยะทางขนส่ง</t>
  </si>
  <si>
    <t>ดอกเบี้ยเงินกู้</t>
  </si>
  <si>
    <t>(งบประมาณ 100 %)</t>
  </si>
  <si>
    <t>ยอดยกไป</t>
  </si>
  <si>
    <t>ยอดยกมา</t>
  </si>
  <si>
    <t>ฝนตกชุก 1</t>
  </si>
  <si>
    <t xml:space="preserve">ฝนตกชุก 2 </t>
  </si>
  <si>
    <t>ฝนตกชุก 2</t>
  </si>
  <si>
    <t>ราคาน้ำมันโซล่า เฉลี่ย</t>
  </si>
  <si>
    <t xml:space="preserve">     งานปูลาดและบดทับผิว  AC หนา 5 ซม.</t>
  </si>
  <si>
    <t xml:space="preserve">     บนผิวไพร์มโค้ท</t>
  </si>
  <si>
    <t xml:space="preserve">     บนผิวแทคโค้ท</t>
  </si>
  <si>
    <t xml:space="preserve">     ค่าผสมวัสดุแอสฟัลติกคอนกรีต</t>
  </si>
  <si>
    <t xml:space="preserve">Factor F  </t>
  </si>
  <si>
    <t xml:space="preserve">Factor F </t>
  </si>
  <si>
    <t>8. Pavement In-Place Recycling</t>
  </si>
  <si>
    <t xml:space="preserve">           ขุดลึก 20 ซม.</t>
  </si>
  <si>
    <t>วัสดุคัดเลือก</t>
  </si>
  <si>
    <t xml:space="preserve">     ขนาดกลาง</t>
  </si>
  <si>
    <t>10.งานตัดแต่งขั้นบันได</t>
  </si>
  <si>
    <t xml:space="preserve">  - ค่าผสม</t>
  </si>
  <si>
    <t xml:space="preserve"> </t>
  </si>
  <si>
    <t xml:space="preserve">ชนิดผิวทาง   </t>
  </si>
  <si>
    <t xml:space="preserve">                                         </t>
  </si>
  <si>
    <t xml:space="preserve">ชนิดไหล่ทาง  </t>
  </si>
  <si>
    <t xml:space="preserve">ผิวทางกว้าง    </t>
  </si>
  <si>
    <t>รวมค่างานก่อสร้าง</t>
  </si>
  <si>
    <t xml:space="preserve">   หมายเหตุ</t>
  </si>
  <si>
    <t>ค่างานต้นทุนงานทาง</t>
  </si>
  <si>
    <t xml:space="preserve"> - เงินล่วงหน้าจ่าย </t>
  </si>
  <si>
    <t xml:space="preserve"> - ดอกเบี้ยเงินกู้      </t>
  </si>
  <si>
    <t xml:space="preserve"> - เงินประกันผลงานหัก </t>
  </si>
  <si>
    <t>สรุป</t>
  </si>
  <si>
    <t>รวมเป็นค่าก่อสร้าง</t>
  </si>
  <si>
    <t>คิดเป็นเงินค่าก่อสร้างประมาณ</t>
  </si>
  <si>
    <t xml:space="preserve">ระยะทางดำเนินการ       </t>
  </si>
  <si>
    <t>เฉลี่ยราคา  กม.ละ</t>
  </si>
  <si>
    <t>ซม.</t>
  </si>
  <si>
    <t>11.งานดินตัด - ขึ้นรูปคันทาง</t>
  </si>
  <si>
    <t xml:space="preserve">     ดิน - ขุดตัด</t>
  </si>
  <si>
    <t>ลบ.ม (ปกติ)</t>
  </si>
  <si>
    <t>12. งานดินคันทาง</t>
  </si>
  <si>
    <t xml:space="preserve">     ขุด - ขน</t>
  </si>
  <si>
    <t xml:space="preserve">      บดทับ</t>
  </si>
  <si>
    <t>ดินถม</t>
  </si>
  <si>
    <t xml:space="preserve">        ขุดรื้อหินคลุก</t>
  </si>
  <si>
    <t xml:space="preserve">อัตราการใช้ยาง </t>
  </si>
  <si>
    <t>ลิตร/ตร.ม.</t>
  </si>
  <si>
    <t xml:space="preserve">        N  =  ค่างาน Pavement In-Place Recycling</t>
  </si>
  <si>
    <t xml:space="preserve">        A  =  ปริมาณยางแอสฟัลต์</t>
  </si>
  <si>
    <t xml:space="preserve"> ตัน/ตร.ม.</t>
  </si>
  <si>
    <t xml:space="preserve">        Y  =  ราคายางแอสฟัลต์บวกค่าขนส่ง</t>
  </si>
  <si>
    <t xml:space="preserve">        S  =  ปริมาณปูนซีเมนต์</t>
  </si>
  <si>
    <t xml:space="preserve">        C  =  ราคาปริมาณปูนซีเมนต์บวกค่าขนส่ง</t>
  </si>
  <si>
    <t>ม.</t>
  </si>
  <si>
    <t xml:space="preserve"> กก./ลบ.ม.</t>
  </si>
  <si>
    <t xml:space="preserve">  - ค่าปูนซีเมนต์ + ค่าขนส่ง                                                    </t>
  </si>
  <si>
    <t xml:space="preserve">  - ปริมาณปูนซีเมนต์ต่อตารางเมตร</t>
  </si>
  <si>
    <t xml:space="preserve">          รวมค่างาน Pavement In-Place Recycling</t>
  </si>
  <si>
    <t xml:space="preserve">        N  =   [ Operating Cost + AY + SC ]</t>
  </si>
  <si>
    <t>ซีเมนต์</t>
  </si>
  <si>
    <t xml:space="preserve">อัตราการยุบตัว  </t>
  </si>
  <si>
    <t xml:space="preserve">  - ค่าวัสดุ</t>
  </si>
  <si>
    <t xml:space="preserve">  - ค่าดำเนินการและค่าเสื่อมราคางานขุดรื้อพื้นทางเดิมแล้วบดทับ</t>
  </si>
  <si>
    <t xml:space="preserve">  - Tack Coat</t>
  </si>
  <si>
    <t xml:space="preserve">  - Hot Mix</t>
  </si>
  <si>
    <t xml:space="preserve">  - ค่าดำเนินการและค่าเสื่อมราคางาน Tack Coat ปูลาดและบดทับ</t>
  </si>
  <si>
    <t xml:space="preserve">  - ราคายางจากโรงงาน</t>
  </si>
  <si>
    <t xml:space="preserve">        ปริมาณซีเมนต์ที่ใช้ (โดยน้ำหนัก)                  =</t>
  </si>
  <si>
    <t xml:space="preserve">        หน่วยน้ำหนักของวัสดุพื้นทางที่ขุดกัด             =</t>
  </si>
  <si>
    <t xml:space="preserve">          ค่างาน Pavement In-Place Recycling</t>
  </si>
  <si>
    <t xml:space="preserve">  - ค่าเสื่อมราคาบดทับหินคลุกปรับระดับ</t>
  </si>
  <si>
    <t>\</t>
  </si>
  <si>
    <t xml:space="preserve"> - ปริมาณงาน Asphalt Concrete ทั้งโครงการ</t>
  </si>
  <si>
    <t xml:space="preserve"> - ค่าติดตั้งเครื่องผสม = 250,000</t>
  </si>
  <si>
    <t xml:space="preserve">   (ยางAC + ค่าขนส่ง) x 0.052</t>
  </si>
  <si>
    <t xml:space="preserve">   (หินผสม + ค่าขนส่ง) x 0.74</t>
  </si>
  <si>
    <t xml:space="preserve">  - ค่าดำเนินการ + ค่าเสื่อมผสมแอสฟัลติกคอนกรีต</t>
  </si>
  <si>
    <t xml:space="preserve"> - ค่าขนส่งแอสฟัลติกคอนกรีตในสายทาง ระยะทาง </t>
  </si>
  <si>
    <t xml:space="preserve"> ซม.                (</t>
  </si>
  <si>
    <t xml:space="preserve">ระยะทางตลอดสายทาง   </t>
  </si>
  <si>
    <t>ระยะทางดำเนินการ</t>
  </si>
  <si>
    <t xml:space="preserve">        ขุดรื้อรองพื้นทาง(ลูกรัง)</t>
  </si>
  <si>
    <t xml:space="preserve">  - ค่าดำเนินการ,ค่าเสื่อมราคาผสมและบดทับ (หินคลุกใหม่)</t>
  </si>
  <si>
    <t>ผู้ตรวจ</t>
  </si>
  <si>
    <t>ประมาณราคา</t>
  </si>
  <si>
    <t>ตรวจ</t>
  </si>
  <si>
    <t>ประมาณราคา      …………………………………………..</t>
  </si>
  <si>
    <t>ตรวจ     …………………………………………….</t>
  </si>
  <si>
    <t>รายละเอียดแบ่งงวดงาน</t>
  </si>
  <si>
    <t>งวด</t>
  </si>
  <si>
    <t>ประเภทงาน</t>
  </si>
  <si>
    <t>ราคา/หน่วย</t>
  </si>
  <si>
    <t>คิดเป็นเงิน</t>
  </si>
  <si>
    <t>คิดให้ 90%</t>
  </si>
  <si>
    <t>คงเหลือ</t>
  </si>
  <si>
    <t xml:space="preserve">เทียบเป็น % </t>
  </si>
  <si>
    <t>วัน</t>
  </si>
  <si>
    <t>งานดิน</t>
  </si>
  <si>
    <t>Deep  Patch</t>
  </si>
  <si>
    <t>ที่เหลือทั้งหมด</t>
  </si>
  <si>
    <t>งานเครื่องหมายจราจร</t>
  </si>
  <si>
    <t>หลักแนวโค้ง ค.ส.ล.</t>
  </si>
  <si>
    <t>หลักกิโลเมตร</t>
  </si>
  <si>
    <t>ผู้แบ่งงวดงาน......................................................</t>
  </si>
  <si>
    <t>ตรวจสอบ.......................................................</t>
  </si>
  <si>
    <t>ราคาต่อหน่วย</t>
  </si>
  <si>
    <t>งาน Pavement In - Place Recycling</t>
  </si>
  <si>
    <t>ป้ายจราจร</t>
  </si>
  <si>
    <t>หลักเขตทาง</t>
  </si>
  <si>
    <t>Guard  Rail บริเวณคอสะพาน</t>
  </si>
  <si>
    <t>ทางม้าลาย</t>
  </si>
  <si>
    <t xml:space="preserve"> สำนักทางหลวงชนบทที่ 12(สงขลา) กรมทางหลวงชนบท</t>
  </si>
  <si>
    <t>สงขลา</t>
  </si>
  <si>
    <t>สตูล</t>
  </si>
  <si>
    <t>ปัตตานี</t>
  </si>
  <si>
    <t>ยะลา</t>
  </si>
  <si>
    <t>นราธิวาส</t>
  </si>
  <si>
    <t>ตำแหน่ง</t>
  </si>
  <si>
    <t>กม. ถึง กม.</t>
  </si>
  <si>
    <t>ผิวทาง</t>
  </si>
  <si>
    <t>ไหล่ทาง</t>
  </si>
  <si>
    <t>พื้นที่ผิวทาง</t>
  </si>
  <si>
    <t>พื้นที่ไหล่ทาง</t>
  </si>
  <si>
    <t>เสริมหิน</t>
  </si>
  <si>
    <t>กว้าง(ม.)</t>
  </si>
  <si>
    <t>(เมตร)</t>
  </si>
  <si>
    <t>(ตรม.)</t>
  </si>
  <si>
    <t>ระยะทางรวมทั้งหมด</t>
  </si>
  <si>
    <t>กิโลเมตร</t>
  </si>
  <si>
    <t>กม.ที่</t>
  </si>
  <si>
    <t>นายช่างโยธาชำนาญงาน</t>
  </si>
  <si>
    <t>ตารางเมตร</t>
  </si>
  <si>
    <t>คอนกรีตโครงสร้าง ค.2</t>
  </si>
  <si>
    <t>ลบ.ม.  @</t>
  </si>
  <si>
    <t>เหล็กเสริม RB9</t>
  </si>
  <si>
    <t>กก. @</t>
  </si>
  <si>
    <t>ลวดผูกเหล็ก</t>
  </si>
  <si>
    <t>ตร.ม. @</t>
  </si>
  <si>
    <t>ตะปู</t>
  </si>
  <si>
    <t>slot</t>
  </si>
  <si>
    <t>จุด  @</t>
  </si>
  <si>
    <t>กรวดหยาบ</t>
  </si>
  <si>
    <t>...ค่าวัสดุ CONCRETE  SLOPE  PROTECTION ต่อ 1  ตารางเมตร</t>
  </si>
  <si>
    <t xml:space="preserve">ค่าแรงผสมและเทคอนกรีต </t>
  </si>
  <si>
    <t>...ค่าแรงงาน CONCRETE  SLOPE  PROTECTION ต่อ 1  ตารางเมตร</t>
  </si>
  <si>
    <t>H</t>
  </si>
  <si>
    <t>S</t>
  </si>
  <si>
    <t>AREA</t>
  </si>
  <si>
    <t>slope  protection</t>
  </si>
  <si>
    <t>dia</t>
  </si>
  <si>
    <t>@</t>
  </si>
  <si>
    <t>L</t>
  </si>
  <si>
    <t>NO.</t>
  </si>
  <si>
    <t>คอนกรีต</t>
  </si>
  <si>
    <t>ไม้แบบ</t>
  </si>
  <si>
    <t>กก.</t>
  </si>
  <si>
    <t>จุด</t>
  </si>
  <si>
    <t>สรุป  CONCRETE  SLOPE  PROTECTION</t>
  </si>
  <si>
    <t>เหล็ก RB9</t>
  </si>
  <si>
    <t>ค่าปูนซีเมนต์</t>
  </si>
  <si>
    <t>ตัน  @</t>
  </si>
  <si>
    <t>ค่าทราย</t>
  </si>
  <si>
    <t>ค่าหิน</t>
  </si>
  <si>
    <t xml:space="preserve">รวม </t>
  </si>
  <si>
    <t>ความยาว</t>
  </si>
  <si>
    <t>พื้นที่</t>
  </si>
  <si>
    <t>งาน Benching</t>
  </si>
  <si>
    <t>งานดินตัด</t>
  </si>
  <si>
    <t>งานดินถม ( จากการขนส่ง )</t>
  </si>
  <si>
    <t>งานรองพื้นทาง (ลูกรังบดอัดแน่น)</t>
  </si>
  <si>
    <t>หินคลุกบดอัดแน่น</t>
  </si>
  <si>
    <t xml:space="preserve"> หินคลุกปรับระดับ (หลวม)</t>
  </si>
  <si>
    <t>Prime  Coat</t>
  </si>
  <si>
    <t>Tack  Coat</t>
  </si>
  <si>
    <t>Asphaltic  Concrete</t>
  </si>
  <si>
    <t>5.1.1</t>
  </si>
  <si>
    <t>5.1.2</t>
  </si>
  <si>
    <t>5.1.3</t>
  </si>
  <si>
    <t>5.1.4</t>
  </si>
  <si>
    <t>GUARD RAIL</t>
  </si>
  <si>
    <t>5.2.1</t>
  </si>
  <si>
    <t>ป้ายกำหนดน้ำหนักบรรทุก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</si>
  <si>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</si>
  <si>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</si>
  <si>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</si>
  <si>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</si>
  <si>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</si>
  <si>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</si>
  <si>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</si>
  <si>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</si>
  <si>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</si>
  <si>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</si>
  <si>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</si>
  <si>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</si>
  <si>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</si>
  <si>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</si>
  <si>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</si>
  <si>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</si>
  <si>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</si>
  <si>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</si>
  <si>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</si>
  <si>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</si>
  <si>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</si>
  <si>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>5.2.23</t>
  </si>
  <si>
    <t>5.2.24</t>
  </si>
  <si>
    <t>5.2.25</t>
  </si>
  <si>
    <t>5.2.26</t>
  </si>
  <si>
    <t>5.2.27</t>
  </si>
  <si>
    <t>5.2.28</t>
  </si>
  <si>
    <t>5.2.29</t>
  </si>
  <si>
    <t>5.2.30</t>
  </si>
  <si>
    <t>5.2.31</t>
  </si>
  <si>
    <t>5.2.32</t>
  </si>
  <si>
    <t>5.2.33</t>
  </si>
  <si>
    <t>5.2.34</t>
  </si>
  <si>
    <t>5.2.35</t>
  </si>
  <si>
    <t>หลักนำทาง</t>
  </si>
  <si>
    <t>5.2.36</t>
  </si>
  <si>
    <t>Guard  Rail บริเวณทางโค้ง</t>
  </si>
  <si>
    <t>5.2.37</t>
  </si>
  <si>
    <t>5.2.38</t>
  </si>
  <si>
    <t>ตีเส้นทางรถไฟตัดผ่าน</t>
  </si>
  <si>
    <t>5.2.39</t>
  </si>
  <si>
    <t>ติดตั้งปุ่มสะท้อนแสง ( 2 หน้า )</t>
  </si>
  <si>
    <t>5.2.40</t>
  </si>
  <si>
    <t>5.2.41</t>
  </si>
  <si>
    <t>ปรับปรุงสะพาน คสล</t>
  </si>
  <si>
    <t>5.2.42</t>
  </si>
  <si>
    <t>5.2.43</t>
  </si>
  <si>
    <t>Timber Barricade</t>
  </si>
  <si>
    <t xml:space="preserve">       - ราคน้ำมันโซล่า เฉลี่ย</t>
  </si>
  <si>
    <t xml:space="preserve">      - สายทางอยู่ในเขตพื้นที่  </t>
  </si>
  <si>
    <t>รหัสสายทาง</t>
  </si>
  <si>
    <t>ชื่อสายทาง</t>
  </si>
  <si>
    <t>สถานที่ตั้ง</t>
  </si>
  <si>
    <t>1.ขนาดป้ายจราจร 2 สำหรับทางหลวงชนบท ที่มีช่องจราจรไมเกิน 2 ช่องจราจร ทั่วๆไป</t>
  </si>
  <si>
    <t>3.ขนาดป้ายจราจร 4 สำหรับทางหลวงชนบท ที่มีช่องจราจรตั้งแต่ 4 ช่องขึ้นไป</t>
  </si>
  <si>
    <t>หลักนำโค้ง ค.ส.ล.</t>
  </si>
  <si>
    <t>5.2.44</t>
  </si>
  <si>
    <t>Guard  Rail บริเวณทางตรง</t>
  </si>
  <si>
    <t>5.2.45</t>
  </si>
  <si>
    <t>5.2.46</t>
  </si>
  <si>
    <t>5.2.47</t>
  </si>
  <si>
    <t>5.2.48</t>
  </si>
  <si>
    <t>5.2.49</t>
  </si>
  <si>
    <t>5.2.50</t>
  </si>
  <si>
    <t>ปีงบประมาณ</t>
  </si>
  <si>
    <t>กว้าง</t>
  </si>
  <si>
    <t>ช่วง  กม.</t>
  </si>
  <si>
    <t xml:space="preserve">ถึง  กม. </t>
  </si>
  <si>
    <t xml:space="preserve">เจ้าของโครงการ       </t>
  </si>
  <si>
    <t xml:space="preserve">รหัสสายทาง   </t>
  </si>
  <si>
    <t xml:space="preserve">สถานที่ตั้ง              </t>
  </si>
  <si>
    <t xml:space="preserve">ลักษณะสายทางเดิม       </t>
  </si>
  <si>
    <t xml:space="preserve">ระยะทางตลอดสายทาง     </t>
  </si>
  <si>
    <t>..…………………………………………..</t>
  </si>
  <si>
    <t>ตรวจสอบ</t>
  </si>
  <si>
    <t>เห็นชอบ</t>
  </si>
  <si>
    <t xml:space="preserve">  - ค่าดำเนินการและค่าเสื่อมราคางาน Prime  Coat </t>
  </si>
  <si>
    <t xml:space="preserve">  - ค่าดำเนินการและค่าเสื่อมราคางาน Tack   Coat </t>
  </si>
  <si>
    <t xml:space="preserve">  - ค่าดำเนินการและค่าเสื่อมราคางานปูลาด Asphaltic  Concrete บน Prime  Coat</t>
  </si>
  <si>
    <t xml:space="preserve">  - ค่าดำเนินการและค่าเสื่อมราคางานปูลาด Asphaltic  Concrete บน Tack  Coat</t>
  </si>
  <si>
    <t>หักสะพานยาว (เมตร)</t>
  </si>
  <si>
    <t>ทรายถม</t>
  </si>
  <si>
    <t>ทรายผสมคอนกรีต</t>
  </si>
  <si>
    <t>หินผสมคอนกรีต</t>
  </si>
  <si>
    <t>ปริมาตร</t>
  </si>
  <si>
    <t>หินคลุก(ลบ.ม.)</t>
  </si>
  <si>
    <t>(เมตร.)</t>
  </si>
  <si>
    <t>ราคากลาง</t>
  </si>
  <si>
    <t>โปรแกรมประมาณราคางานบำรุงรักษาทาง</t>
  </si>
  <si>
    <t>จัดทำโดย</t>
  </si>
  <si>
    <t>ส่วนบูรณะ   สำนักทางหลวงชนบทที่ 12 (สงขลา)</t>
  </si>
  <si>
    <t xml:space="preserve"> สำนักทางหลวงชนบทที่ 12(สงขลา)  กรมทางหลวงชนบท  กระทรวงคมนาคม</t>
  </si>
  <si>
    <t xml:space="preserve">ประเภทงาน            </t>
  </si>
  <si>
    <t xml:space="preserve">สายทาง </t>
  </si>
  <si>
    <t xml:space="preserve"> - ค่าท่อ คสล. พร้อมขนส่งถึงหน้างาน</t>
  </si>
  <si>
    <t>บาท/ท่อน</t>
  </si>
  <si>
    <t xml:space="preserve"> - ค่าทรายถมหลังท่อ </t>
  </si>
  <si>
    <t xml:space="preserve"> - งานยาแนวท่อ</t>
  </si>
  <si>
    <t xml:space="preserve"> - ค่าดำเนินการ</t>
  </si>
  <si>
    <t>ราคาต่อเมตร</t>
  </si>
  <si>
    <t>แบบ</t>
  </si>
  <si>
    <t>รวมค่างาน</t>
  </si>
  <si>
    <t xml:space="preserve">         - สายทางอยู่ในเขตพื้นที่  </t>
  </si>
  <si>
    <t>เหล็กเสริม RB 6</t>
  </si>
  <si>
    <t>ปริมาตรท่อ</t>
  </si>
  <si>
    <t>T</t>
  </si>
  <si>
    <t>D</t>
  </si>
  <si>
    <t>V</t>
  </si>
  <si>
    <t>Wigth</t>
  </si>
  <si>
    <t xml:space="preserve">Vfor </t>
  </si>
  <si>
    <t>V Track</t>
  </si>
  <si>
    <t>จำนวนท่อน</t>
  </si>
  <si>
    <t>ค่าขนส่งต่อท่อน</t>
  </si>
  <si>
    <t>1 แถว</t>
  </si>
  <si>
    <t>2 แถว</t>
  </si>
  <si>
    <t>3 แถว</t>
  </si>
  <si>
    <t>ค่าวางกลบกลับ</t>
  </si>
  <si>
    <t>งานโครงสร้างระบายน้ำ</t>
  </si>
  <si>
    <t>ขนาดหน้าตัดท่อ</t>
  </si>
  <si>
    <t>พื้นที่ที่เหลือ</t>
  </si>
  <si>
    <t>Ø</t>
  </si>
  <si>
    <t>แถว</t>
  </si>
  <si>
    <t>B</t>
  </si>
  <si>
    <t>ขนาดพื้นที่คอนกรีตปากท่อ</t>
  </si>
  <si>
    <t>ค่าขนส่ง/เที่ยว</t>
  </si>
  <si>
    <t>ขนาดพื้นรับปลายท่อ</t>
  </si>
  <si>
    <t>หนา</t>
  </si>
  <si>
    <t>ยาว</t>
  </si>
  <si>
    <t>ลึก</t>
  </si>
  <si>
    <t>RB 9</t>
  </si>
  <si>
    <t>น้ำหนัก/ม.</t>
  </si>
  <si>
    <t>น้ำหนัก(ตัน)</t>
  </si>
  <si>
    <t>ยาว/ท่อน</t>
  </si>
  <si>
    <t>RB 12</t>
  </si>
  <si>
    <t>นายวัลลภ  มูสิกะเจริญ</t>
  </si>
  <si>
    <t>นางสาวปิญาภา  ศรีมณี</t>
  </si>
  <si>
    <t>วิศวกรโยธาชำนาญการ</t>
  </si>
  <si>
    <t>ค่าแรงงานผูกเหล็ก</t>
  </si>
  <si>
    <t>บาท/กก</t>
  </si>
  <si>
    <t>Long</t>
  </si>
  <si>
    <t>TOP BEAM</t>
  </si>
  <si>
    <t>BELOW  BEAM</t>
  </si>
  <si>
    <t>Concret</t>
  </si>
  <si>
    <t>Reinforcing steel</t>
  </si>
  <si>
    <t>Cross</t>
  </si>
  <si>
    <t>Parallel</t>
  </si>
  <si>
    <t>SUM</t>
  </si>
  <si>
    <t>จุดที่</t>
  </si>
  <si>
    <t>High</t>
  </si>
  <si>
    <t>คณะกรรมการกำหนดราคากลาง</t>
  </si>
  <si>
    <t>เหล็กเสริม  RB 9 mm.</t>
  </si>
  <si>
    <t>เหล็กเสริม  RB 6 mm.</t>
  </si>
  <si>
    <t>คอนกรีต คสล. ค. 2</t>
  </si>
  <si>
    <t>ไม้แบบ คิด 25%</t>
  </si>
  <si>
    <t>รางระบายน้ำ</t>
  </si>
  <si>
    <t>เหล็ก Wire mash</t>
  </si>
  <si>
    <t>ตำแหน่งรางระบายน้ำ</t>
  </si>
  <si>
    <t>ตำแหน่ง GUTTER</t>
  </si>
  <si>
    <t>STA</t>
  </si>
  <si>
    <t>TO</t>
  </si>
  <si>
    <t>STA.</t>
  </si>
  <si>
    <t>LONG</t>
  </si>
  <si>
    <t xml:space="preserve"> -</t>
  </si>
  <si>
    <t>...ค่างานต้นทุนคอนกรีต ค.2</t>
  </si>
  <si>
    <t>...ค่างานต้นทุนคอนกรีต ค.1</t>
  </si>
  <si>
    <t>ค่าแรงประกอบไม้แบบคอยกรีตเปลือย</t>
  </si>
  <si>
    <t>ลบ.ม. @</t>
  </si>
  <si>
    <t xml:space="preserve"> - ไม้กะบาก จำนวน</t>
  </si>
  <si>
    <t>ลบ.ฟ.ๆ ละ</t>
  </si>
  <si>
    <t xml:space="preserve"> - ไม้อัดยางหนา 4  มม.</t>
  </si>
  <si>
    <t>ตร.ม.ๆ ละ</t>
  </si>
  <si>
    <t xml:space="preserve"> - ไม้คร่าว 1 1/2"</t>
  </si>
  <si>
    <t xml:space="preserve"> - ตะปู</t>
  </si>
  <si>
    <t>กก. ๆ ละ</t>
  </si>
  <si>
    <t xml:space="preserve"> - น้ำมันทาผิวไม้</t>
  </si>
  <si>
    <t>ค่าแบบรวม</t>
  </si>
  <si>
    <t>ตร.ม. ละ</t>
  </si>
  <si>
    <t>1.หาค่างานต้นทุนซีเมนต์ยาแนว</t>
  </si>
  <si>
    <t>ไม้กะบาก</t>
  </si>
  <si>
    <t>บาท/ลฟ.ม.</t>
  </si>
  <si>
    <t>ไม้อัดภายนอกหนา 4  มม.</t>
  </si>
  <si>
    <t>บาท/แผ่น</t>
  </si>
  <si>
    <t>ไม้รัดแบบ-เคร่า</t>
  </si>
  <si>
    <t>ท้องรางกว้าง</t>
  </si>
  <si>
    <t>(ม.)</t>
  </si>
  <si>
    <t>นน.เหล็ก</t>
  </si>
  <si>
    <t>( กก.)</t>
  </si>
  <si>
    <t>ความกว้างท้องรางระบายน้ำ</t>
  </si>
  <si>
    <t xml:space="preserve"> บาท/ตัน.</t>
  </si>
  <si>
    <t>ตร.ม.  @</t>
  </si>
  <si>
    <t>บาท/เมตร</t>
  </si>
  <si>
    <t>บาท/กก.</t>
  </si>
  <si>
    <t>4. หาค่าวัสดุไม้แบบต่อพื้นที่  1  ตารางเมตร</t>
  </si>
  <si>
    <t xml:space="preserve">        Operating Cost                                 =</t>
  </si>
  <si>
    <t xml:space="preserve">        ความลึกในการขุดกัด                             =</t>
  </si>
  <si>
    <t>งาน Prime Coat</t>
  </si>
  <si>
    <t>งานที่ปรับราคาไม่ได้</t>
  </si>
  <si>
    <t>สุดท้าย</t>
  </si>
  <si>
    <t>งานขุดรื้อรองพื้นทางลูกรังเดิมแล้วบดทับ</t>
  </si>
  <si>
    <t>งานขุดรื้อพื้นทางหินคลุกเดิมแล้วบดทับ</t>
  </si>
  <si>
    <t>งานขุดรื้อผิวทาง AC เดิมแล้วบดทับ</t>
  </si>
  <si>
    <t>รวมค่าวัสดุและค่าแรงเป็นเงิน</t>
  </si>
  <si>
    <t>รวมค่าวัสดุและขนส่ง</t>
  </si>
  <si>
    <t>งานวัสดุดินถม ( จากการขนส่ง )</t>
  </si>
  <si>
    <t>งานลูกรัง</t>
  </si>
  <si>
    <t>งานพื้นทาง</t>
  </si>
  <si>
    <t>รวมค่าวัสดุ</t>
  </si>
  <si>
    <t>รวมค่ายาง</t>
  </si>
  <si>
    <t>งานเทคโค้ท</t>
  </si>
  <si>
    <t>งานไพร์มโค้ท</t>
  </si>
  <si>
    <t xml:space="preserve">งานปะซ่อมผิวทางเดิม (Skin Patch) </t>
  </si>
  <si>
    <t>งานขุดซ่อมผิวทางเดิม (Deep  Patch)</t>
  </si>
  <si>
    <t>งาน Pavement In-Place Recycling</t>
  </si>
  <si>
    <t xml:space="preserve">ค่าใช้จ่ายรวม    </t>
  </si>
  <si>
    <t>งานถางป่าขุดตอ(ขนาดกลาง)</t>
  </si>
  <si>
    <t>งานปรับคันทางเดิมแล้วบดทับ</t>
  </si>
  <si>
    <t>2.ขนาดป้ายจราจร 3 สำหรับทางหลวงชนบท ที่มีช่องจราจรไมเกิน 4 ช่องจราจร หรือถนน 2 ช่องจราจร 7/11 ม. ขึ้นไป</t>
  </si>
  <si>
    <t>หินคลุก</t>
  </si>
  <si>
    <t xml:space="preserve"> บาท/ลบ.ม. ราคารวม =</t>
  </si>
  <si>
    <t>รายการหินที่เลือกใช้</t>
  </si>
  <si>
    <t xml:space="preserve">งานผิวทางแอสฟัลติคคอนกรีต  </t>
  </si>
  <si>
    <t>13.งานตัด-ขึ้นรูปคันทาง</t>
  </si>
  <si>
    <t xml:space="preserve">     ดิน - ขุดตัก</t>
  </si>
  <si>
    <t xml:space="preserve">          - ตัก</t>
  </si>
  <si>
    <t xml:space="preserve">     หินผุ - ขุดตัก</t>
  </si>
  <si>
    <t xml:space="preserve">          - ดันและตัก</t>
  </si>
  <si>
    <t>5.2.51</t>
  </si>
  <si>
    <t>5.2.52</t>
  </si>
  <si>
    <t xml:space="preserve"> - ค่าขนส่งอุปกรณ์ 80 ตัน ระยะทางขนส่ง</t>
  </si>
  <si>
    <t>ลักษณะความกว้างพื้นผิวจราจร</t>
  </si>
  <si>
    <t>CONCRETE  SLOPE PROTECTION</t>
  </si>
  <si>
    <t>กม.ที่  ถึง</t>
  </si>
  <si>
    <t>รวมเหล็ก</t>
  </si>
  <si>
    <t>ทั้งหมด</t>
  </si>
  <si>
    <t xml:space="preserve"> ระยะทางดำเนินการ   </t>
  </si>
  <si>
    <t>รายการราคาค่างานต่อหน่วยงานท่อ คสล.</t>
  </si>
  <si>
    <t>...ต้นทุนค่างานไม้แบบ</t>
  </si>
  <si>
    <t>6. งานกำแพงปากท่อ</t>
  </si>
  <si>
    <t>กก.   @</t>
  </si>
  <si>
    <t>ค่าแรงงานประกอบไม้แบบคอนกรีตเปลือย</t>
  </si>
  <si>
    <t>ขนาดท่อ</t>
  </si>
  <si>
    <t>ปริมาตรทรายถม</t>
  </si>
  <si>
    <t>ปริมาตรคอนกรีต</t>
  </si>
  <si>
    <t>ปริมาตรยาแนว</t>
  </si>
  <si>
    <t>ค่าท่อ คสล. +ขนส่ง</t>
  </si>
  <si>
    <t xml:space="preserve"> ค่าทรายถมหลังท่อ </t>
  </si>
  <si>
    <t>ค่าคอนกรีต ค.1</t>
  </si>
  <si>
    <t>งานยาแนวท่อ</t>
  </si>
  <si>
    <t>ค่าดำเนินการ</t>
  </si>
  <si>
    <t>ค่าคอนกรีต ค.2</t>
  </si>
  <si>
    <t>รวม 1 ด้าน</t>
  </si>
  <si>
    <t>รวม 2 ด้าน</t>
  </si>
  <si>
    <t>รวมปริมาตร</t>
  </si>
  <si>
    <t xml:space="preserve">กม.  </t>
  </si>
  <si>
    <t>งานปรับปรุง</t>
  </si>
  <si>
    <t>งานวางท่อ คสล.</t>
  </si>
  <si>
    <t>งานกำแพงปากท่อ คสล.</t>
  </si>
  <si>
    <t>5.1 คันหิน</t>
  </si>
  <si>
    <t>5.2 คันหินรางตื้น</t>
  </si>
  <si>
    <t>ค่าวัสดุรางระบายน้ำคอนกรีตเสริมเหล็กต่อความยาว 1.00  เมตร</t>
  </si>
  <si>
    <t>ค่าแรงงานรางระบายน้ำคอนกรีตเสริมเหล็กต่อความยาว 1.00  เมตร</t>
  </si>
  <si>
    <t>บำรุงตามกำหนดเวลา</t>
  </si>
  <si>
    <t>บำรุงพิเศษ</t>
  </si>
  <si>
    <t>จังหวัด</t>
  </si>
  <si>
    <t>ราคาน้ำมัน</t>
  </si>
  <si>
    <t>กิจกรรม</t>
  </si>
  <si>
    <t>ซ่อมฟื้นฟูทางหลวงชนบทอันเนื่องมาจากเหตุภัยพิบัติ</t>
  </si>
  <si>
    <t>มี WIDENING</t>
  </si>
  <si>
    <t>ไม่มี WIDENING</t>
  </si>
  <si>
    <t>WIDENING</t>
  </si>
  <si>
    <t>สายทาง</t>
  </si>
  <si>
    <t>R</t>
  </si>
  <si>
    <t>ซีเมนต์ Type 1</t>
  </si>
  <si>
    <t xml:space="preserve">ค่าขนส่งปูนซิเมนต์  </t>
  </si>
  <si>
    <t>ทรายหยาบ</t>
  </si>
  <si>
    <t>ค่าขนส่งดิน,ลูกรัง</t>
  </si>
  <si>
    <t>ทรายถมที่</t>
  </si>
  <si>
    <t>ค่าขนส่งทราย</t>
  </si>
  <si>
    <t>ค่าขนส่งเหล็ก</t>
  </si>
  <si>
    <t>เหล็กเสริม RB6  SR 24</t>
  </si>
  <si>
    <t>เหล็กเสริม RB9  SR 24</t>
  </si>
  <si>
    <t>เหล็กเสริม RB25  SR 24</t>
  </si>
  <si>
    <t>เหล็กเสริม DB12  SD 30</t>
  </si>
  <si>
    <t>เหล็กเสริม DB16  SD 30</t>
  </si>
  <si>
    <t>เหล็กเสริม DB20  SD 30</t>
  </si>
  <si>
    <t>เหล็กเสริม DB12  SD 40</t>
  </si>
  <si>
    <t>เหล็กเสริม DB16  SD 40</t>
  </si>
  <si>
    <t>เหล็กเสริม DB20  SD 40</t>
  </si>
  <si>
    <t>เหล็กเสริม DB25  SD 40</t>
  </si>
  <si>
    <t>น้ำมันทาแบบ</t>
  </si>
  <si>
    <t>ค่าขนส่ง</t>
  </si>
  <si>
    <t>ลูกรัง(ลบ.ม.)</t>
  </si>
  <si>
    <t>ลำดับที่</t>
  </si>
  <si>
    <t>No.</t>
  </si>
  <si>
    <t>Æ</t>
  </si>
  <si>
    <t>DB 12</t>
  </si>
  <si>
    <t>W</t>
  </si>
  <si>
    <t>RB 6</t>
  </si>
  <si>
    <t>ข้อมูลประกอบการประมาณราคา งานวางท่อกลม คสล.</t>
  </si>
  <si>
    <t>ข้อมูลประกอบการประมาณราคา  งานระบบระบายน้ำ</t>
  </si>
  <si>
    <t>แหล่งวัสดุ</t>
  </si>
  <si>
    <t>แหล่งวัสดุก่อสร้าง</t>
  </si>
  <si>
    <t>ค่าวัสดุ + ค่าขนส่ง</t>
  </si>
  <si>
    <t>ชนิดวัสดุ</t>
  </si>
  <si>
    <t>วันที่</t>
  </si>
  <si>
    <t>พ.ศ.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</si>
  <si>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</si>
  <si>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</si>
  <si>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</si>
  <si>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</si>
  <si>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</si>
  <si>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</si>
  <si>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</si>
  <si>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</si>
  <si>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</si>
  <si>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</si>
  <si>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</si>
  <si>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</si>
  <si>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แหล่งวัสดุพื้นทางถนน   แหล่งที่ 2</t>
  </si>
  <si>
    <t>แหล่งวัสดุพื้นทางถนน   แหล่งที่ 1</t>
  </si>
  <si>
    <t>ใช้ 1 เมื่อใช้รถรถบรรทุก 10 ล้อ</t>
  </si>
  <si>
    <t>ใช้ 2 เมื่อใช้รถบรรทุก 10 ล้อ + รถลากพ่วง</t>
  </si>
  <si>
    <t>ผิวทางหนา</t>
  </si>
  <si>
    <t>อยู่ในพื้นที่จังหวัด</t>
  </si>
  <si>
    <t>กม. ระยะทางดำเนินการ</t>
  </si>
  <si>
    <t>รายการแอสฟัลท์ที่เลือกใช้</t>
  </si>
  <si>
    <t>อ.ศรีราชา จ.ชลบุรี</t>
  </si>
  <si>
    <t>งบประมาณที่ได้รับ</t>
  </si>
  <si>
    <t>ผลการประมาณราคา</t>
  </si>
  <si>
    <t>ตรวจสอบการใช้งบประมาณ</t>
  </si>
  <si>
    <t>ค่าขนส่งยางจากกรุงเทพฯ -ศรีราชา</t>
  </si>
  <si>
    <t xml:space="preserve"> บาท/ตัน. ราคารวม =</t>
  </si>
  <si>
    <t>แหล่งที่ 1</t>
  </si>
  <si>
    <t>แหล่งที่ 2</t>
  </si>
  <si>
    <t>งาน</t>
  </si>
  <si>
    <t>ปรับราคา</t>
  </si>
  <si>
    <t>ได้</t>
  </si>
  <si>
    <t>ไม่ได้</t>
  </si>
  <si>
    <t>CONCRETE  SLOPE  PROTECTION</t>
  </si>
  <si>
    <t>ค่าเช่าป้ายจราจรระหว่างการก่อสร้าง</t>
  </si>
  <si>
    <t>หินคลุกปรับระดับ</t>
  </si>
  <si>
    <t>หินคลุก(หลวม)</t>
  </si>
  <si>
    <t xml:space="preserve">ค่างานต้นทุน งานผิวทางแอสฟัลติคคอนกรีต  </t>
  </si>
  <si>
    <t xml:space="preserve">วิธีที่ 2 ซ่อมสร้างผิวทาง ASPHALTIC  CONCRETE </t>
  </si>
  <si>
    <t>รวมทั้งหมด</t>
  </si>
  <si>
    <t>พื้นที่ทั้งหมด/เมตร</t>
  </si>
  <si>
    <t>ค่าวัสดุรางระบายน้ำคอนกรีตเสริมเหล็กต่อพื้นที่ 1.00  ตารางเมตร</t>
  </si>
  <si>
    <t>ค่าแรงงานรางระบายน้ำคอนกรีตเสริมเหล็กต่อพื้นที่ 1.00  ตารางเมตร</t>
  </si>
  <si>
    <t>รางระบายน้ำแบบเปิด</t>
  </si>
  <si>
    <t>ราคา</t>
  </si>
  <si>
    <t>ขนาดพื้นที่รางส่งน้ำ</t>
  </si>
  <si>
    <t>เหล็กเสริม  DB 12 mm.</t>
  </si>
  <si>
    <t>รางกว้าง</t>
  </si>
  <si>
    <t>บ่อรับน้ำปากท่อ/จุด</t>
  </si>
  <si>
    <t>ท้องกว้าง</t>
  </si>
  <si>
    <t>รางระบายน้ำแบบขั้นบันได ส่งน้ำจุดที่   1  STA.7+150</t>
  </si>
  <si>
    <t>D (ซม.)</t>
  </si>
  <si>
    <t>T (ซม.)</t>
  </si>
  <si>
    <t>ระยะ B ท่อ</t>
  </si>
  <si>
    <t>แถวเดียว</t>
  </si>
  <si>
    <t>ระยะ L  ท่อ</t>
  </si>
  <si>
    <t>L ยาว(ม.)</t>
  </si>
  <si>
    <t>ระยะ B</t>
  </si>
  <si>
    <t>ระยะ L</t>
  </si>
  <si>
    <t>เหล็กปากท่อ</t>
  </si>
  <si>
    <t xml:space="preserve"> - รวมเหล็กเสริม  RB 6 mm.</t>
  </si>
  <si>
    <t xml:space="preserve"> - หักเหล็กเสริม  RB 6 mm.จากพื้นที่ ปากท่อ</t>
  </si>
  <si>
    <t>จำนวน (ม.)</t>
  </si>
  <si>
    <t>ขนาดพื้นที่รางส่งน้ำ(ก่อนขั้นบันได)</t>
  </si>
  <si>
    <t xml:space="preserve"> - คอนกรีต ค 2 </t>
  </si>
  <si>
    <t>Slope ยาว</t>
  </si>
  <si>
    <t>บันไดยาว</t>
  </si>
  <si>
    <t>งานขั้นบันไดทั้งหมด</t>
  </si>
  <si>
    <t>ขั้นบันได/Slope 1 เมตร</t>
  </si>
  <si>
    <t>คานตามยาวด้านบน(ติดไหล่ทาง)</t>
  </si>
  <si>
    <t>คานรับแรงเฉือน / จุด</t>
  </si>
  <si>
    <t>RB 6 mm.</t>
  </si>
  <si>
    <t>จำนวนจุด</t>
  </si>
  <si>
    <t>B กว้าง</t>
  </si>
  <si>
    <t>ยาวตามขั้น</t>
  </si>
  <si>
    <t>กว้างตามขั้น</t>
  </si>
  <si>
    <t>พื้นดาดคอนกรีตเรียงหิน</t>
  </si>
  <si>
    <t>คานป้องกันกัดเซาะปากรางด้านล่าง 2 ตัว</t>
  </si>
  <si>
    <t>ลบ.ม.   - ไม้แบบ</t>
  </si>
  <si>
    <t>ม.       - รวมเหล็กเสริม  RB 9 mm.</t>
  </si>
  <si>
    <t xml:space="preserve"> - หินเรียง</t>
  </si>
  <si>
    <t>ม.       - รวมเหล็กเสริม  DB 12 mm.</t>
  </si>
  <si>
    <t xml:space="preserve"> - รวมเหล็กเสริม  DB 12 mm.</t>
  </si>
  <si>
    <t>ลวด</t>
  </si>
  <si>
    <t>สรุปปริมาณงานทั้งหมด</t>
  </si>
  <si>
    <t>หินเรียง</t>
  </si>
  <si>
    <t>รางระบายน้ำแบบขั้นบันได ส่งน้ำจุดที่   2  STA.7+200</t>
  </si>
  <si>
    <t>หินใหญ่</t>
  </si>
  <si>
    <t>รายการประมาณราคาต่อหน่วยของกล่องใส่หิน   (Gabion Box)</t>
  </si>
  <si>
    <t>ค่าวัสดุ</t>
  </si>
  <si>
    <t>-</t>
  </si>
  <si>
    <t>กล่อง</t>
  </si>
  <si>
    <t>แผ่นใยสังเคราะห์ชนิดที่ 2</t>
  </si>
  <si>
    <t>หินใหญ่ ขนาด 7 ซม. - 25 ซม.</t>
  </si>
  <si>
    <t xml:space="preserve">             ตรวจ     …………………………………………….</t>
  </si>
  <si>
    <t>ป้องกันการกัดเซาะคันทางแบบกล่องใส่หิน (GABION BOX)</t>
  </si>
  <si>
    <t>เส้นผ่านศูนย์กลาง</t>
  </si>
  <si>
    <t>ขนาดบ่อพัก</t>
  </si>
  <si>
    <t>ด้านท่อ</t>
  </si>
  <si>
    <t>พื้นบ่อ</t>
  </si>
  <si>
    <t>CON.หยาบ</t>
  </si>
  <si>
    <t>คอนกรีตหยาบ</t>
  </si>
  <si>
    <t xml:space="preserve">ลักษณะของงาน    </t>
  </si>
  <si>
    <t>บำรุงรักษาระบบโครงข่ายทาง</t>
  </si>
  <si>
    <t>อำนวยความปลอดภัย</t>
  </si>
  <si>
    <t>กรรมการฯ</t>
  </si>
  <si>
    <t>โครงข่ายสายทางกรมทางหลวงชนบท</t>
  </si>
  <si>
    <t>สำนักงานทางหลวงชนบทจังหวัดสงขลา สำนักทางหลวงชนบทที่ 12 ( สงขลา )</t>
  </si>
  <si>
    <t>ลำดับ</t>
  </si>
  <si>
    <t>ตำบล</t>
  </si>
  <si>
    <t>อำเภอ</t>
  </si>
  <si>
    <t>ระยะทาง
(กม.)</t>
  </si>
  <si>
    <t>ชนิดผิวจราจร</t>
  </si>
  <si>
    <t>ตำแหน่งพิกัดสายทาง</t>
  </si>
  <si>
    <t>ลาดยาง</t>
  </si>
  <si>
    <t>จุดเริ่มต้น</t>
  </si>
  <si>
    <t>จุดสิ้นสุด</t>
  </si>
  <si>
    <t>N</t>
  </si>
  <si>
    <t>E</t>
  </si>
  <si>
    <t>นศ.3053</t>
  </si>
  <si>
    <t>บ้านขาว,ตะเครียะ,บ้านใหม่,ระโนด</t>
  </si>
  <si>
    <t>ระโนด</t>
  </si>
  <si>
    <t>สข.1001</t>
  </si>
  <si>
    <t>กำแพงเพชร</t>
  </si>
  <si>
    <t>รัตภูมิ</t>
  </si>
  <si>
    <t>สข.2003</t>
  </si>
  <si>
    <t>นาทวี,สะท้อน</t>
  </si>
  <si>
    <t>นาทวี</t>
  </si>
  <si>
    <t>เขารูปช้าง,เกาะแต้ว,นาทับ้านสะกอม</t>
  </si>
  <si>
    <t>เทพา  จะนะ,  เมือง</t>
  </si>
  <si>
    <t>สข.3005</t>
  </si>
  <si>
    <t>น้ำน้อย ,ทุ่งใหญ่ ,ท่าข้าม ,ทุ่งหวัง</t>
  </si>
  <si>
    <t>เมือง,  หาดใหญ่</t>
  </si>
  <si>
    <t>เทพา,วังใหญ่</t>
  </si>
  <si>
    <t>เทพา</t>
  </si>
  <si>
    <t>สข.1008</t>
  </si>
  <si>
    <t>สะเดา</t>
  </si>
  <si>
    <t>สข.4009</t>
  </si>
  <si>
    <t>ระโนด,โรง,กระแสสินธุ์</t>
  </si>
  <si>
    <t>ระโนด,  
กระแสสินธุ์</t>
  </si>
  <si>
    <t>สข.3011</t>
  </si>
  <si>
    <t>ชิงโค,สทิงหม้อ</t>
  </si>
  <si>
    <t>สิงหนคร</t>
  </si>
  <si>
    <t>สข.4012</t>
  </si>
  <si>
    <t>สะบ้าย้อย,ทุ่งพอ,คูหา</t>
  </si>
  <si>
    <t>สะบ้าย้อย</t>
  </si>
  <si>
    <t>ควนลัง , ทุ่งตำเสา</t>
  </si>
  <si>
    <t>หาดใหญ่</t>
  </si>
  <si>
    <t>สข.4014</t>
  </si>
  <si>
    <t>ควนโส,ปากรอ</t>
  </si>
  <si>
    <t>ควนเนียง,  สิงหนคร</t>
  </si>
  <si>
    <t>สข.3015</t>
  </si>
  <si>
    <t>พะวง ,ทุ่งหวัง</t>
  </si>
  <si>
    <t>เมือง</t>
  </si>
  <si>
    <t>สข.5016</t>
  </si>
  <si>
    <t>ตะเครียะ</t>
  </si>
  <si>
    <t>สข.2017</t>
  </si>
  <si>
    <t>ตลิ่งชัน</t>
  </si>
  <si>
    <t>จะนะ</t>
  </si>
  <si>
    <t>สข.2018</t>
  </si>
  <si>
    <t>พะตง,แค,คู,นาหว้า</t>
  </si>
  <si>
    <t>จะนะ, หาดใหญ่</t>
  </si>
  <si>
    <t>สข.4020</t>
  </si>
  <si>
    <t>ห้วยลึก</t>
  </si>
  <si>
    <t>ควนเนียง</t>
  </si>
  <si>
    <t>สข.4022</t>
  </si>
  <si>
    <t>ท่าบอน,คลองแดน</t>
  </si>
  <si>
    <t>บางเหรียง</t>
  </si>
  <si>
    <t>สข.3025</t>
  </si>
  <si>
    <t>ม่วงงาม,บางเขียด</t>
  </si>
  <si>
    <t>ทุ่งตำเสา</t>
  </si>
  <si>
    <t>สข.1027</t>
  </si>
  <si>
    <t>ท่าโพธ์,ทุ่งหมอ,ปาดังเบซาร์</t>
  </si>
  <si>
    <t>สข.2028</t>
  </si>
  <si>
    <t>ท่าม่วง</t>
  </si>
  <si>
    <t>ควนลัง</t>
  </si>
  <si>
    <t>สข.2030</t>
  </si>
  <si>
    <t>ทุ่งขมิ้น,นาหว้า</t>
  </si>
  <si>
    <t>นาหม่อม,  จะนะ</t>
  </si>
  <si>
    <t>น้ำน้อย ,ท่าข้าม ,พิจิตร ,นาหม่อม</t>
  </si>
  <si>
    <t>นาหม่อม, หาดใหญ่, เมือง</t>
  </si>
  <si>
    <t>สข.2032</t>
  </si>
  <si>
    <t>สข.4034</t>
  </si>
  <si>
    <t>ทุ่งหมอ,คลองหอยโข่ง</t>
  </si>
  <si>
    <t>สะเดา,  คลองหอยโข่ง</t>
  </si>
  <si>
    <t>สข.1035</t>
  </si>
  <si>
    <t>สข.2036</t>
  </si>
  <si>
    <t>เกาะสะบ้า</t>
  </si>
  <si>
    <t>สข.4037</t>
  </si>
  <si>
    <t>สข.3038</t>
  </si>
  <si>
    <t>ม่วงงาม,ทำนบ,รำแดง</t>
  </si>
  <si>
    <t>สข.2039</t>
  </si>
  <si>
    <t>เขามีเกียรติ</t>
  </si>
  <si>
    <t>สข.4040</t>
  </si>
  <si>
    <t>ท่าโพธิ์,โคกม่วง</t>
  </si>
  <si>
    <t>ฉลุง ,ท่าช้าง</t>
  </si>
  <si>
    <t>หาดใหญ่,  
คลองหอยโข่ง</t>
  </si>
  <si>
    <t>สข.4047</t>
  </si>
  <si>
    <t>ควนลัง ,ทุ่งลาน ,โคกม่วง</t>
  </si>
  <si>
    <t>สข.3049</t>
  </si>
  <si>
    <t>บ่อดาน,สทิงพระ,กระดังงา</t>
  </si>
  <si>
    <t>สทิงพระ</t>
  </si>
  <si>
    <t>สข.4051</t>
  </si>
  <si>
    <t>บางกล่ำ, ควนเนียง</t>
  </si>
  <si>
    <t>สข.4052</t>
  </si>
  <si>
    <t>สข.4053</t>
  </si>
  <si>
    <t>ควนโส</t>
  </si>
  <si>
    <t>สข.5056</t>
  </si>
  <si>
    <t>คลองหอยโข่ง</t>
  </si>
  <si>
    <t>สข.5057</t>
  </si>
  <si>
    <t>สข.1058</t>
  </si>
  <si>
    <t>ท่าช้าง</t>
  </si>
  <si>
    <t>บางกล่ำ</t>
  </si>
  <si>
    <t>สข.1059</t>
  </si>
  <si>
    <t>เขามีเกียรติ , พังลา</t>
  </si>
  <si>
    <t>สข.3060</t>
  </si>
  <si>
    <t>นาทวี,  จะนะ</t>
  </si>
  <si>
    <t>สข.3061</t>
  </si>
  <si>
    <t>สข.1062</t>
  </si>
  <si>
    <t>สข.4063</t>
  </si>
  <si>
    <t>สข.4064</t>
  </si>
  <si>
    <t>สข.1065</t>
  </si>
  <si>
    <t>สข.6066</t>
  </si>
  <si>
    <t>บ้านคลองลำ - อ่างเก็บน้ำเหนือคลอง</t>
  </si>
  <si>
    <t>สข.4067</t>
  </si>
  <si>
    <t>สข.3068</t>
  </si>
  <si>
    <t>สข.5071</t>
  </si>
  <si>
    <t>สข.3072</t>
  </si>
  <si>
    <t>สข.3073</t>
  </si>
  <si>
    <t>สำนักงานทางหลวงชนบทจังหวัดนราธิวาส สำนักทางหลวงชนบทที่ 12 ( สงขลา )</t>
  </si>
  <si>
    <t>นธ.4001</t>
  </si>
  <si>
    <t>ตันหยงลิมอ, ตันหยงมัส</t>
  </si>
  <si>
    <t>ระแงะ</t>
  </si>
  <si>
    <t>นธ.5002</t>
  </si>
  <si>
    <t>ตันหยงลิมอ , บูกิต</t>
  </si>
  <si>
    <t>ระแงะ , เจาะไอร้อง</t>
  </si>
  <si>
    <t>นธ.2003</t>
  </si>
  <si>
    <t>ละหาร , มะนังตายอ</t>
  </si>
  <si>
    <t>ยี่งอ, เมือง</t>
  </si>
  <si>
    <t>นธ.4004</t>
  </si>
  <si>
    <t>บาเระใต้ , บาเระเหนือ</t>
  </si>
  <si>
    <t>บาเจาะ</t>
  </si>
  <si>
    <t>นธ.2005</t>
  </si>
  <si>
    <t>กะลุวอ , กะลุวอเหนือ</t>
  </si>
  <si>
    <t>นธ.4006</t>
  </si>
  <si>
    <t>ตะมะยูง , เชิงคีรี , ลาโละ</t>
  </si>
  <si>
    <t>ศรีสาคร , รือเสาะ</t>
  </si>
  <si>
    <t>นธ.4007</t>
  </si>
  <si>
    <t>โคกเคียน</t>
  </si>
  <si>
    <t>นธ.4008</t>
  </si>
  <si>
    <t>ตันหยงมัส , ตันหยงลิมอ</t>
  </si>
  <si>
    <t>นธ.4009</t>
  </si>
  <si>
    <t>กะลุวอเหนือ ,  กะลุวอ</t>
  </si>
  <si>
    <t>นธ.4010</t>
  </si>
  <si>
    <t>แว้ง, ฆอเลาะ ,โล๊ะจูด</t>
  </si>
  <si>
    <t>แว้ง</t>
  </si>
  <si>
    <t>นธ.4011</t>
  </si>
  <si>
    <t>ดุซงญอ , ตันหยงมัส</t>
  </si>
  <si>
    <t>จะแนะ , ระแงะ</t>
  </si>
  <si>
    <t>นธ.4013</t>
  </si>
  <si>
    <t>ซากอ , ศรีบรรพต , ช้างเผือก</t>
  </si>
  <si>
    <t>ศรีสาคร ,จะแนะ</t>
  </si>
  <si>
    <t>นธ.4014</t>
  </si>
  <si>
    <t>ตันหยงลิมอ , บองอ</t>
  </si>
  <si>
    <t>นธ.4016</t>
  </si>
  <si>
    <t>สุวารี , สามัคคี</t>
  </si>
  <si>
    <t>รือเสาะ</t>
  </si>
  <si>
    <t>นธ.4018</t>
  </si>
  <si>
    <t>บาตง , โคกสะตอ , ศรีสาคร</t>
  </si>
  <si>
    <t xml:space="preserve">รือเสาะ , ศรีสาคร </t>
  </si>
  <si>
    <t>นธ.4019</t>
  </si>
  <si>
    <t>มะรือโบออก , สุไหงปาดี , ไพรวัน</t>
  </si>
  <si>
    <t>เจาะไอร้อง , 
สุไหงปาดี , ตากใบ</t>
  </si>
  <si>
    <t>นธ.4020</t>
  </si>
  <si>
    <t>สุไหงปาดี , มะรือโบออก</t>
  </si>
  <si>
    <t>สุไหงปาดี , เจาะไอร้อง</t>
  </si>
  <si>
    <t>นธ.2021</t>
  </si>
  <si>
    <t>กาเยาะมาตี , บาเระใต้</t>
  </si>
  <si>
    <t>นธ.4022</t>
  </si>
  <si>
    <t>ตันหยงลิมอ , ยี่งอ</t>
  </si>
  <si>
    <t>ระแงะ , ยี่งอ</t>
  </si>
  <si>
    <t>นธ.4023</t>
  </si>
  <si>
    <t>กาวะ, ริโก๋</t>
  </si>
  <si>
    <t>สุไหงปาดี</t>
  </si>
  <si>
    <t>นธ.2024</t>
  </si>
  <si>
    <t>กะลุวอ , ไพรวัน , ศาลาใหม่</t>
  </si>
  <si>
    <t>เมือง , ตากใบ</t>
  </si>
  <si>
    <t>นธ.4025</t>
  </si>
  <si>
    <t>พร่อน , บางขุนทอง , ไพรวัน</t>
  </si>
  <si>
    <t>ตากใบ</t>
  </si>
  <si>
    <t>นธ.4026</t>
  </si>
  <si>
    <t>ดุซงญอ , บองอ , จวบ</t>
  </si>
  <si>
    <t>จะแนะ , ระแงะ,
เจาะไอร้อง</t>
  </si>
  <si>
    <t>นธ.5027</t>
  </si>
  <si>
    <t>บาโงสะโต , กาลิซา , ซากอ</t>
  </si>
  <si>
    <t>ระแงะ ,ศรีสาคร</t>
  </si>
  <si>
    <t>นธ.4028</t>
  </si>
  <si>
    <t>รือเสาะออก</t>
  </si>
  <si>
    <t>นธ.4031</t>
  </si>
  <si>
    <t>สุไหงโก-ลก</t>
  </si>
  <si>
    <t>นธ.5032</t>
  </si>
  <si>
    <t>บ้านปูตะ - บ้านโคกเคียน</t>
  </si>
  <si>
    <t>ละหาร , โคกเคียน</t>
  </si>
  <si>
    <t>ยี่งอ  , เมือง</t>
  </si>
  <si>
    <t>นธ.4033</t>
  </si>
  <si>
    <t>เมืองฯ</t>
  </si>
  <si>
    <t>นธ.5034</t>
  </si>
  <si>
    <t>จวบ , สุไหงปาดี</t>
  </si>
  <si>
    <t>เจาะไอร้อง , สุไหงปาดี</t>
  </si>
  <si>
    <t>นธ.5035</t>
  </si>
  <si>
    <t>บ้านปูยู - บ้านเกาะสะท้อน</t>
  </si>
  <si>
    <t>เกาะสะท้อน</t>
  </si>
  <si>
    <t>นธ.2036</t>
  </si>
  <si>
    <t>นานาค , มูโน๊ะ</t>
  </si>
  <si>
    <t>ตากใบ,สุไหงโก-ลก</t>
  </si>
  <si>
    <t>นธ.5037</t>
  </si>
  <si>
    <t>บ้านศรีพะงัน - บ้านโต๊ะแดง</t>
  </si>
  <si>
    <t>เกาะสะท้อน , ปูโย๊ะ</t>
  </si>
  <si>
    <t>ตากใบ, สุไหงโก-ลก</t>
  </si>
  <si>
    <t>นธ.5038</t>
  </si>
  <si>
    <t>บ้านโคกยาง - บ้านปลักปลา</t>
  </si>
  <si>
    <t>โฆษิต</t>
  </si>
  <si>
    <t>นธ.5039</t>
  </si>
  <si>
    <t>โคกสะตอ , บาตง</t>
  </si>
  <si>
    <t>นธ.6040</t>
  </si>
  <si>
    <t>บ้านบูเก๊ะบากง ม.2 - บ้านตะโล๊ะมีญอ</t>
  </si>
  <si>
    <t>ตะปอเยาะ</t>
  </si>
  <si>
    <t>ยี่งอ</t>
  </si>
  <si>
    <t>นธ.6041</t>
  </si>
  <si>
    <t>บ้านกะทุง - บ้านบาเระใต้</t>
  </si>
  <si>
    <t>ลุโบะสาวอ</t>
  </si>
  <si>
    <t>สำนักงานทางหลวงชนบทจังหวัดปัตตานี สำนักทางหลวงชนบทที่ 12 ( สงขลา )</t>
  </si>
  <si>
    <t>ปน.2003</t>
  </si>
  <si>
    <t>หนองจิก, โคกโพธิ์</t>
  </si>
  <si>
    <t>ปน.2007</t>
  </si>
  <si>
    <t>หนองจิก,ยะรัง</t>
  </si>
  <si>
    <t>ปน.2010</t>
  </si>
  <si>
    <t>โคกโพธิ์,หนองจิก,
ยะรัง</t>
  </si>
  <si>
    <t>ปน.3011</t>
  </si>
  <si>
    <t>โคกโพธิ์,แม่ลาน</t>
  </si>
  <si>
    <t>ปน.2013</t>
  </si>
  <si>
    <t>เมือง,หนองจิก</t>
  </si>
  <si>
    <t>ปน.3014</t>
  </si>
  <si>
    <t>โคกโพธิ์, แม่ลาน,
หนองจิก</t>
  </si>
  <si>
    <t>ปน.2016</t>
  </si>
  <si>
    <t>ยะหริ่ง,ปะนาเระ</t>
  </si>
  <si>
    <t>ปน.2019</t>
  </si>
  <si>
    <t>หนองจิก</t>
  </si>
  <si>
    <t>ปน.4031</t>
  </si>
  <si>
    <t>ปะนาเระ,ยะหริ่ง</t>
  </si>
  <si>
    <t>ปน.3032</t>
  </si>
  <si>
    <t>โคกโพธิ์</t>
  </si>
  <si>
    <t>ปน.2043</t>
  </si>
  <si>
    <t>โคกโพธิ์, หนองจิก</t>
  </si>
  <si>
    <t>ปน.2045</t>
  </si>
  <si>
    <t>ยะหริ่ง</t>
  </si>
  <si>
    <t>ปน.5049</t>
  </si>
  <si>
    <t>สายบ้านนิคมโคกโพธิ์ - พุทธนิมิตร</t>
  </si>
  <si>
    <t>ปน.5053</t>
  </si>
  <si>
    <t>บ้านปากน้ำ - สวนสมเด็จฯ</t>
  </si>
  <si>
    <t>ปน.5056</t>
  </si>
  <si>
    <t>บ้านคูระ - บ้านน้ำดำ</t>
  </si>
  <si>
    <t>แม่ลาน,หนองจิก</t>
  </si>
  <si>
    <t>ปน.3057</t>
  </si>
  <si>
    <r>
      <t>ยะรัง,</t>
    </r>
    <r>
      <rPr>
        <sz val="16"/>
        <color indexed="10"/>
        <rFont val="TH SarabunPSK"/>
        <family val="2"/>
      </rPr>
      <t>มายอ</t>
    </r>
  </si>
  <si>
    <t>ปน.3058</t>
  </si>
  <si>
    <t>โคกโพธิ์,ยะรัง</t>
  </si>
  <si>
    <t>ปน.2060</t>
  </si>
  <si>
    <t>ปน.2062</t>
  </si>
  <si>
    <t>ปน.2063</t>
  </si>
  <si>
    <t>ปน.2064</t>
  </si>
  <si>
    <t>ปน.2065</t>
  </si>
  <si>
    <t xml:space="preserve">ปะนาเระ </t>
  </si>
  <si>
    <t>ปน.2066</t>
  </si>
  <si>
    <t>มายอ</t>
  </si>
  <si>
    <t>ปน.2067</t>
  </si>
  <si>
    <t>ปน.2068</t>
  </si>
  <si>
    <t>ปน.6069</t>
  </si>
  <si>
    <t>บ้านกอแลมิและ - บ้านบากง</t>
  </si>
  <si>
    <t>ปน.2070</t>
  </si>
  <si>
    <t>ปน.2071</t>
  </si>
  <si>
    <t>เมือง, ยะรัง, ยะหริ่ง</t>
  </si>
  <si>
    <t>ปน.6072</t>
  </si>
  <si>
    <t>บ้านลานควาย - บ้านละหารยามู</t>
  </si>
  <si>
    <t>ยะรัง</t>
  </si>
  <si>
    <t>ปน.6073</t>
  </si>
  <si>
    <t>บ้านกาแลสะนอ - บ้านคลองช้าง</t>
  </si>
  <si>
    <t>ปน.6074</t>
  </si>
  <si>
    <t>สายบ้านจะแบปะ - บ้านเกาะหวาย</t>
  </si>
  <si>
    <t>ปน.6075</t>
  </si>
  <si>
    <t>อีบุสะบารัง - ซูงาฆอแระ</t>
  </si>
  <si>
    <t>ประจัน</t>
  </si>
  <si>
    <t>ปน.6076</t>
  </si>
  <si>
    <t>ปีตูนายี - ปูโก๊ะ</t>
  </si>
  <si>
    <t>ปน.6077</t>
  </si>
  <si>
    <t>บาตงกูแบบาเดาะ</t>
  </si>
  <si>
    <t>สะดาวา</t>
  </si>
  <si>
    <t>ปน.3084</t>
  </si>
  <si>
    <t>ปน.2001</t>
  </si>
  <si>
    <t>สายบุรี, ทุ่งยางแดง</t>
  </si>
  <si>
    <t>ปน.3002</t>
  </si>
  <si>
    <t>ยะรัง, มายอ</t>
  </si>
  <si>
    <t>ปน.4004</t>
  </si>
  <si>
    <t>กะพ้อ</t>
  </si>
  <si>
    <t>ปน.2005</t>
  </si>
  <si>
    <t>สายบุรี,ไม้แก่น</t>
  </si>
  <si>
    <t>ปน.4009</t>
  </si>
  <si>
    <t>ทุ่งยางแดง,มายอ</t>
  </si>
  <si>
    <t>ปน.4015</t>
  </si>
  <si>
    <t>ปะนาเระ,สายบุรี</t>
  </si>
  <si>
    <t>ปน.4017</t>
  </si>
  <si>
    <t>ปะนาเระ</t>
  </si>
  <si>
    <t>ปน.2020</t>
  </si>
  <si>
    <t>ยะหริ่ง, มายอ, ยะรัง</t>
  </si>
  <si>
    <t>ปน.2023</t>
  </si>
  <si>
    <t>ยะหริ่ง,มายอ</t>
  </si>
  <si>
    <t>ปน.2024</t>
  </si>
  <si>
    <t>ปน.2026</t>
  </si>
  <si>
    <t>สายบุรี, กะพ้อ</t>
  </si>
  <si>
    <t>ปน.2033</t>
  </si>
  <si>
    <t>สายบุรี, ปะนาเระ</t>
  </si>
  <si>
    <t>ปน.4039</t>
  </si>
  <si>
    <t>มายอ, ทุ่งยางแดง</t>
  </si>
  <si>
    <t>ปน.2044</t>
  </si>
  <si>
    <t>สายบุรี</t>
  </si>
  <si>
    <t>ปน.3054</t>
  </si>
  <si>
    <t>ยะรัง,ทุ่งยางแดง</t>
  </si>
  <si>
    <t>ปน.5059</t>
  </si>
  <si>
    <t>ปน.2061</t>
  </si>
  <si>
    <t>ปน.6078</t>
  </si>
  <si>
    <t>บ้านเขาดิน - บ้านบาลูกาวะ</t>
  </si>
  <si>
    <t>ปากู</t>
  </si>
  <si>
    <t>ทุ่งยางแดง</t>
  </si>
  <si>
    <t>ปน.6079</t>
  </si>
  <si>
    <t>บ้านน้ำดำ - บ้านข่าลิง</t>
  </si>
  <si>
    <t>น้ำดำ, พิเทน</t>
  </si>
  <si>
    <t>ปน.6080</t>
  </si>
  <si>
    <t>บ้านป่าลัส - บ้านลางา</t>
  </si>
  <si>
    <t>ลางา</t>
  </si>
  <si>
    <t>ปน.6081</t>
  </si>
  <si>
    <t>บ้านดอนทราย - บ้านป่าไหม่</t>
  </si>
  <si>
    <t>ดอนทราย</t>
  </si>
  <si>
    <t>ไม้แก่น</t>
  </si>
  <si>
    <t>ปน.6082</t>
  </si>
  <si>
    <r>
      <t>บ้านกอตอ</t>
    </r>
    <r>
      <rPr>
        <sz val="16"/>
        <color indexed="10"/>
        <rFont val="TH SarabunPSK"/>
        <family val="2"/>
      </rPr>
      <t>ฮิ</t>
    </r>
    <r>
      <rPr>
        <sz val="16"/>
        <rFont val="TH SarabunPSK"/>
        <family val="2"/>
      </rPr>
      <t>เล ม.4</t>
    </r>
  </si>
  <si>
    <t>ตะโละไกรทอง</t>
  </si>
  <si>
    <t>ปน.6083</t>
  </si>
  <si>
    <r>
      <t>บ้าน</t>
    </r>
    <r>
      <rPr>
        <sz val="16"/>
        <color indexed="10"/>
        <rFont val="TH SarabunPSK"/>
        <family val="2"/>
      </rPr>
      <t>บือ</t>
    </r>
    <r>
      <rPr>
        <sz val="16"/>
        <rFont val="TH SarabunPSK"/>
        <family val="2"/>
      </rPr>
      <t>ราแง - บ้านชะมา</t>
    </r>
  </si>
  <si>
    <t>น้ำดำ</t>
  </si>
  <si>
    <t>สำนักงานทางหลวงชนบทจังหวัดยะลา สำนักทางหลวงชนบทที่ 12 ( สงขลา )</t>
  </si>
  <si>
    <t>ยล.4002</t>
  </si>
  <si>
    <t>สะเตงนอก,บุดี</t>
  </si>
  <si>
    <t>ยล.3003</t>
  </si>
  <si>
    <t>ท่าสาป,พร่อน,ลำใหม่</t>
  </si>
  <si>
    <t>ยล.3004</t>
  </si>
  <si>
    <t>ตาเนาะแมเราะ</t>
  </si>
  <si>
    <t>เบตง</t>
  </si>
  <si>
    <t>ยล.3005</t>
  </si>
  <si>
    <t>ถ้ำทะลุ</t>
  </si>
  <si>
    <t>บันนังสตา,ยะหา,กาบัง</t>
  </si>
  <si>
    <t>ยล.3006</t>
  </si>
  <si>
    <t>อัยเยอร์เวง,แม่หวาด</t>
  </si>
  <si>
    <t>เบตง,ธารโต</t>
  </si>
  <si>
    <t>ยล.4007</t>
  </si>
  <si>
    <t>กาบัง</t>
  </si>
  <si>
    <t>ยล.3008</t>
  </si>
  <si>
    <t>บันังสตา,ห้วยกระทิง,สะเอ๊ะ</t>
  </si>
  <si>
    <t>บันนังสตา,กาบัง</t>
  </si>
  <si>
    <t>ยล.3009</t>
  </si>
  <si>
    <t>บันนังสตา</t>
  </si>
  <si>
    <t>ยล.4010</t>
  </si>
  <si>
    <t>รือเสาะ,รามัน</t>
  </si>
  <si>
    <t>ยะลา
นราธิวาส</t>
  </si>
  <si>
    <t>ยล.4013</t>
  </si>
  <si>
    <t>ลำพะยา</t>
  </si>
  <si>
    <t>ยล.5014</t>
  </si>
  <si>
    <t>สะเอ๊ะ,ห้วยกระทิง</t>
  </si>
  <si>
    <t>กรงปินัง</t>
  </si>
  <si>
    <t>ยล.3015</t>
  </si>
  <si>
    <t>สะเอ๊ะ</t>
  </si>
  <si>
    <t>ยล.4017</t>
  </si>
  <si>
    <t>บาโงย,เนินงาม,บุดี</t>
  </si>
  <si>
    <t>เมือง,รามัน</t>
  </si>
  <si>
    <t>ยล.4019</t>
  </si>
  <si>
    <t>บือมัง,โกตาบารู</t>
  </si>
  <si>
    <t>รามัน</t>
  </si>
  <si>
    <t>ยล.5020</t>
  </si>
  <si>
    <t>บ้านเบตง - บ้านธารน้ำทิพย์</t>
  </si>
  <si>
    <t>ธารน้ำทิทย์</t>
  </si>
  <si>
    <t>ยล.4021</t>
  </si>
  <si>
    <t>กายูบอเกาะ,ยะต๊ะ,กาลอ</t>
  </si>
  <si>
    <t>ยล.4023</t>
  </si>
  <si>
    <t>ยะหา,บาโงยซีแน</t>
  </si>
  <si>
    <t>ยะหา</t>
  </si>
  <si>
    <t>ยล.5024</t>
  </si>
  <si>
    <t>เขตไฟฟ้าการผลิต - บ้านรัตนกิตติ 1</t>
  </si>
  <si>
    <t>แม่หวาด</t>
  </si>
  <si>
    <t>บันนังสตา,ธารโต</t>
  </si>
  <si>
    <t>ยล.3026</t>
  </si>
  <si>
    <t>ตาเนาะแมเราะ,ยะรม</t>
  </si>
  <si>
    <t>ยล.3027</t>
  </si>
  <si>
    <t>ยล.5031</t>
  </si>
  <si>
    <t>ผังเมืองรวมเมืองเบตงสาย ก</t>
  </si>
  <si>
    <t>ยล.4035</t>
  </si>
  <si>
    <t>ปะแต</t>
  </si>
  <si>
    <t>ยล.4037</t>
  </si>
  <si>
    <t>ยล.5039</t>
  </si>
  <si>
    <t>เลี่ยงเมืองเบตง</t>
  </si>
  <si>
    <t>ยล.3040</t>
  </si>
  <si>
    <t>สำนักงานทางหลวงชนบทจังหวัดสตูล สำนักทางหลวงชนบทที่ 12 ( สงขลา )</t>
  </si>
  <si>
    <t>สต.3001</t>
  </si>
  <si>
    <t>ฉลุง</t>
  </si>
  <si>
    <t>สต.3003</t>
  </si>
  <si>
    <t>ละงู</t>
  </si>
  <si>
    <t>สต.4004</t>
  </si>
  <si>
    <t>ควนกาหลง</t>
  </si>
  <si>
    <t>ควนกาหลง, มะนัง</t>
  </si>
  <si>
    <t>สต.3005</t>
  </si>
  <si>
    <t>ฉลุง,ควนสะตอ</t>
  </si>
  <si>
    <t>เมือง, ควนโดน</t>
  </si>
  <si>
    <t>สต.3007</t>
  </si>
  <si>
    <t>,กำแพงเขาขาว,น้ำผุด,ป่าแกบ่อหิน,ทุ้งหว้า</t>
  </si>
  <si>
    <t>ละงู, ทุ่งหว้า</t>
  </si>
  <si>
    <t>สต.5008</t>
  </si>
  <si>
    <t>ปาล์มพัฒนา</t>
  </si>
  <si>
    <t>มะนัง</t>
  </si>
  <si>
    <t>สต.3009</t>
  </si>
  <si>
    <t>แป-ระ,อุไดเจริญ</t>
  </si>
  <si>
    <t>ท่าแพ, ควนกาหลง</t>
  </si>
  <si>
    <t>สต.4010</t>
  </si>
  <si>
    <t>อุไดเจริญ,นิคมพัฒนา,ปาล์มพัฒนา</t>
  </si>
  <si>
    <t>สต.3011</t>
  </si>
  <si>
    <t>น้ำผุด</t>
  </si>
  <si>
    <r>
      <t>ทุ่งหว้า,</t>
    </r>
    <r>
      <rPr>
        <sz val="16"/>
        <rFont val="TH SarabunPSK"/>
        <family val="2"/>
      </rPr>
      <t>ละงู</t>
    </r>
  </si>
  <si>
    <t>สต.3012</t>
  </si>
  <si>
    <t>ควนโพธิ์,ควนโดน,ควนกาหลง</t>
  </si>
  <si>
    <t>เมือง, ควนโดน,
ควนกาหลง</t>
  </si>
  <si>
    <t>สต.4013</t>
  </si>
  <si>
    <t>ควนโดน,ควนกาหลง</t>
  </si>
  <si>
    <t>ควนกาหลง,
ควนโดน</t>
  </si>
  <si>
    <t>สต.3014</t>
  </si>
  <si>
    <t>ละงุ,นิคมพัฒนา,ปาล์มพัฒนา</t>
  </si>
  <si>
    <r>
      <t xml:space="preserve">ละงู, </t>
    </r>
    <r>
      <rPr>
        <sz val="16"/>
        <color indexed="10"/>
        <rFont val="TH SarabunPSK"/>
        <family val="2"/>
      </rPr>
      <t xml:space="preserve">ควนกาหลง, </t>
    </r>
    <r>
      <rPr>
        <sz val="16"/>
        <rFont val="TH SarabunPSK"/>
        <family val="2"/>
      </rPr>
      <t>มะนัง</t>
    </r>
  </si>
  <si>
    <t>สต.3015</t>
  </si>
  <si>
    <t>ควนโพธิ์,ฉลุง,บ้านควน</t>
  </si>
  <si>
    <t>สต.3016</t>
  </si>
  <si>
    <t>คลองขุด,เกตรี,ควนสะตอ</t>
  </si>
  <si>
    <t>เมือง, 
ควนโดน</t>
  </si>
  <si>
    <t>สต.5017</t>
  </si>
  <si>
    <t>เขาขาว, อุไดเจริญ</t>
  </si>
  <si>
    <t>ละงู, ควนกาหลง</t>
  </si>
  <si>
    <t>สต.3018</t>
  </si>
  <si>
    <t>นาทอน,ขอนคลาน</t>
  </si>
  <si>
    <r>
      <t>ทุ้งหว้า</t>
    </r>
    <r>
      <rPr>
        <sz val="16"/>
        <color indexed="10"/>
        <rFont val="TH SarabunPSK"/>
        <family val="2"/>
      </rPr>
      <t>, ละงู</t>
    </r>
  </si>
  <si>
    <t>สต.3019</t>
  </si>
  <si>
    <t>บ้านควน,เจ๊ะบิลัง</t>
  </si>
  <si>
    <t>สต.4020</t>
  </si>
  <si>
    <t>สต.3023</t>
  </si>
  <si>
    <t>ทุ่งหว้า</t>
  </si>
  <si>
    <t>สต.3024</t>
  </si>
  <si>
    <r>
      <t>ละ</t>
    </r>
    <r>
      <rPr>
        <sz val="16"/>
        <color indexed="12"/>
        <rFont val="TH SarabunPSK"/>
        <family val="2"/>
      </rPr>
      <t>งู</t>
    </r>
    <r>
      <rPr>
        <sz val="16"/>
        <rFont val="TH SarabunPSK"/>
        <family val="2"/>
      </rPr>
      <t>,นิคมพัฒนา,ปาล์มพัฒนา</t>
    </r>
  </si>
  <si>
    <r>
      <t>ละงู,</t>
    </r>
    <r>
      <rPr>
        <sz val="16"/>
        <rFont val="TH SarabunPSK"/>
        <family val="2"/>
      </rPr>
      <t>ควนกาหลง</t>
    </r>
    <r>
      <rPr>
        <sz val="16"/>
        <color indexed="10"/>
        <rFont val="TH SarabunPSK"/>
        <family val="2"/>
      </rPr>
      <t>,มะนัง</t>
    </r>
  </si>
  <si>
    <t>สต.5025</t>
  </si>
  <si>
    <t>น้ำผุด,ปาล์มพัฒนา</t>
  </si>
  <si>
    <t>ละงู,มะนัง,
ควนกาหลง</t>
  </si>
  <si>
    <t>สต.3026</t>
  </si>
  <si>
    <t>ท่าแพ,ควนกาหลง</t>
  </si>
  <si>
    <t>สต.3028</t>
  </si>
  <si>
    <t>กำแพง,ป่าแกบ่อหิน</t>
  </si>
  <si>
    <t>ละงู,ทุ่งหว้า</t>
  </si>
  <si>
    <t>สต.5030</t>
  </si>
  <si>
    <r>
      <t>เทศบาลตำบลกำแพง  - บ้าน</t>
    </r>
    <r>
      <rPr>
        <sz val="16"/>
        <color indexed="10"/>
        <rFont val="TH SarabunPSK"/>
        <family val="2"/>
      </rPr>
      <t>สนกลาง</t>
    </r>
  </si>
  <si>
    <t>กำแพง,ปากน้ำ,แหลมสน</t>
  </si>
  <si>
    <r>
      <t>สต.</t>
    </r>
    <r>
      <rPr>
        <sz val="16"/>
        <color indexed="10"/>
        <rFont val="TH SarabunPSK"/>
        <family val="2"/>
      </rPr>
      <t>6</t>
    </r>
    <r>
      <rPr>
        <sz val="16"/>
        <rFont val="TH SarabunPSK"/>
        <family val="2"/>
      </rPr>
      <t>031</t>
    </r>
  </si>
  <si>
    <r>
      <t>บ้าน</t>
    </r>
    <r>
      <rPr>
        <sz val="16"/>
        <color indexed="10"/>
        <rFont val="TH SarabunPSK"/>
        <family val="2"/>
      </rPr>
      <t>บ่อเจ็ดลูก</t>
    </r>
    <r>
      <rPr>
        <sz val="16"/>
        <rFont val="TH SarabunPSK"/>
        <family val="2"/>
      </rPr>
      <t xml:space="preserve">  -  บ้านบุโบย</t>
    </r>
  </si>
  <si>
    <t>สต.5034</t>
  </si>
  <si>
    <t>ควนโพธิ์,เจ๊ะบิลัง</t>
  </si>
  <si>
    <t>สต.3035</t>
  </si>
  <si>
    <t>ละงู, มะนัง</t>
  </si>
  <si>
    <t>สต.4036</t>
  </si>
  <si>
    <t>สต.3037</t>
  </si>
  <si>
    <t>สต.3038</t>
  </si>
  <si>
    <t>ท่าแพ</t>
  </si>
  <si>
    <t>สต.3039</t>
  </si>
  <si>
    <t>ท่าแพ, ละงู</t>
  </si>
  <si>
    <t>สต.3040</t>
  </si>
  <si>
    <t>สต.5041</t>
  </si>
  <si>
    <t>สต.5043</t>
  </si>
  <si>
    <t>สต.5044</t>
  </si>
  <si>
    <t>เลือกสายทาง</t>
  </si>
  <si>
    <t>วิธีที่ 1</t>
  </si>
  <si>
    <t>วิธีที่ 2</t>
  </si>
  <si>
    <t xml:space="preserve">ซ่อมสร้างผิวทาง Asphaltic Concrete </t>
  </si>
  <si>
    <t>ซ่อมสร้างผิวทาง Asphaltic Concrete โดยวิธี Pavement In - place Recycling</t>
  </si>
  <si>
    <t>เสริมผิวลาดยาง Asphaltic  Concrete</t>
  </si>
  <si>
    <t>โครงการ</t>
  </si>
  <si>
    <t>กรณี ขยายไหล่ทางลูกรัง</t>
  </si>
  <si>
    <t>ดินถม(ลบ.ม.)</t>
  </si>
  <si>
    <r>
      <t>ป้ายจราจรแบบ</t>
    </r>
    <r>
      <rPr>
        <b/>
        <sz val="14"/>
        <rFont val="TH SarabunPSK"/>
        <family val="2"/>
      </rPr>
      <t xml:space="preserve"> บ 1</t>
    </r>
  </si>
  <si>
    <r>
      <t>ป้ายจราจรแบบ</t>
    </r>
    <r>
      <rPr>
        <b/>
        <sz val="14"/>
        <rFont val="TH SarabunPSK"/>
        <family val="2"/>
      </rPr>
      <t xml:space="preserve"> บ 2</t>
    </r>
  </si>
  <si>
    <r>
      <t xml:space="preserve">ป้ายจราจร </t>
    </r>
    <r>
      <rPr>
        <b/>
        <sz val="14"/>
        <rFont val="TH SarabunPSK"/>
        <family val="2"/>
      </rPr>
      <t>บ 3 - บ 55</t>
    </r>
  </si>
  <si>
    <r>
      <t xml:space="preserve">ป้ายจราจรแบบ </t>
    </r>
    <r>
      <rPr>
        <b/>
        <sz val="14"/>
        <rFont val="TH SarabunPSK"/>
        <family val="2"/>
      </rPr>
      <t>ต 1 - ต 27,ต 31 - ต 60,ต 75</t>
    </r>
  </si>
  <si>
    <r>
      <t>ป้ายจราจร</t>
    </r>
    <r>
      <rPr>
        <b/>
        <sz val="14"/>
        <rFont val="TH SarabunPSK"/>
        <family val="2"/>
      </rPr>
      <t xml:space="preserve"> ต 28 - ต 30,ต 62</t>
    </r>
  </si>
  <si>
    <r>
      <t>ป้ายจราจรแบบ</t>
    </r>
    <r>
      <rPr>
        <b/>
        <sz val="14"/>
        <rFont val="TH SarabunPSK"/>
        <family val="2"/>
      </rPr>
      <t xml:space="preserve"> ต 64,ต 67</t>
    </r>
  </si>
  <si>
    <r>
      <t xml:space="preserve">ป้ายจราจรแบบ </t>
    </r>
    <r>
      <rPr>
        <b/>
        <sz val="14"/>
        <rFont val="TH SarabunPSK"/>
        <family val="2"/>
      </rPr>
      <t>ต 65,ต 68, ต 70</t>
    </r>
  </si>
  <si>
    <r>
      <t xml:space="preserve">ป้ายจราจรแบบ </t>
    </r>
    <r>
      <rPr>
        <b/>
        <sz val="14"/>
        <rFont val="TH SarabunPSK"/>
        <family val="2"/>
      </rPr>
      <t>ต 69</t>
    </r>
  </si>
  <si>
    <r>
      <t>ป้ายจราจรแบบ</t>
    </r>
    <r>
      <rPr>
        <b/>
        <sz val="14"/>
        <rFont val="TH SarabunPSK"/>
        <family val="2"/>
      </rPr>
      <t xml:space="preserve"> ต 76</t>
    </r>
  </si>
  <si>
    <t>ป้ายจราจรแบบ ต 77</t>
  </si>
  <si>
    <r>
      <t>ป้ายจราจรแบบ</t>
    </r>
    <r>
      <rPr>
        <b/>
        <sz val="14"/>
        <rFont val="TH SarabunPSK"/>
        <family val="2"/>
      </rPr>
      <t xml:space="preserve"> ต 78</t>
    </r>
  </si>
  <si>
    <r>
      <t xml:space="preserve">ป้ายจราจรแบบ </t>
    </r>
    <r>
      <rPr>
        <b/>
        <sz val="14"/>
        <rFont val="TH SarabunPSK"/>
        <family val="2"/>
      </rPr>
      <t>น 1</t>
    </r>
  </si>
  <si>
    <r>
      <t xml:space="preserve">ป้ายจราจรแบบ </t>
    </r>
    <r>
      <rPr>
        <b/>
        <sz val="14"/>
        <rFont val="TH SarabunPSK"/>
        <family val="2"/>
      </rPr>
      <t>น 4</t>
    </r>
  </si>
  <si>
    <r>
      <t>ป้ายจราจรแบบ</t>
    </r>
    <r>
      <rPr>
        <b/>
        <sz val="14"/>
        <rFont val="TH SarabunPSK"/>
        <family val="2"/>
      </rPr>
      <t xml:space="preserve"> น 5</t>
    </r>
  </si>
  <si>
    <r>
      <t>ป้ายจราจรแบบ</t>
    </r>
    <r>
      <rPr>
        <b/>
        <sz val="14"/>
        <rFont val="TH SarabunPSK"/>
        <family val="2"/>
      </rPr>
      <t xml:space="preserve"> น 6</t>
    </r>
  </si>
  <si>
    <r>
      <rPr>
        <sz val="13.5"/>
        <rFont val="TH SarabunPSK"/>
        <family val="2"/>
      </rPr>
      <t xml:space="preserve">ป้ายจราจรแบบ </t>
    </r>
    <r>
      <rPr>
        <b/>
        <sz val="13"/>
        <rFont val="TH SarabunPSK"/>
        <family val="2"/>
      </rPr>
      <t>บ 3-บ 55 + ต 1-ต 27,ต 31- ต 60</t>
    </r>
    <r>
      <rPr>
        <sz val="11"/>
        <color indexed="8"/>
        <rFont val="Tahoma"/>
        <family val="2"/>
        <charset val="222"/>
      </rPr>
      <t/>
    </r>
  </si>
  <si>
    <t>5.2.53</t>
  </si>
  <si>
    <t>ขนาดป้ายกิโลเมตร</t>
  </si>
  <si>
    <t>สัญญาณไฟกระพริบ</t>
  </si>
  <si>
    <r>
      <t>วิธีที่ 1</t>
    </r>
    <r>
      <rPr>
        <b/>
        <u/>
        <sz val="14"/>
        <color indexed="12"/>
        <rFont val="TH SarabunPSK"/>
        <family val="2"/>
      </rPr>
      <t xml:space="preserve">   OVERLAY</t>
    </r>
  </si>
  <si>
    <r>
      <t>วิธีที่ 3</t>
    </r>
    <r>
      <rPr>
        <b/>
        <u/>
        <sz val="14"/>
        <color indexed="12"/>
        <rFont val="TH SarabunPSK"/>
        <family val="2"/>
      </rPr>
      <t xml:space="preserve"> ซ่อมสร้างผิวทาง ASPHALTIC  CONCRETE - PAVEMENT IN - PLACE RECYCLING</t>
    </r>
  </si>
  <si>
    <t>RB 24 Ø 6 mm.</t>
  </si>
  <si>
    <r>
      <t>(ม.</t>
    </r>
    <r>
      <rPr>
        <b/>
        <vertAlign val="superscript"/>
        <sz val="14"/>
        <color indexed="8"/>
        <rFont val="TH SarabunPSK"/>
        <family val="2"/>
      </rPr>
      <t>3</t>
    </r>
    <r>
      <rPr>
        <b/>
        <sz val="14"/>
        <color indexed="8"/>
        <rFont val="TH SarabunPSK"/>
        <family val="2"/>
      </rPr>
      <t>)</t>
    </r>
  </si>
  <si>
    <r>
      <t>(ม.</t>
    </r>
    <r>
      <rPr>
        <b/>
        <vertAlign val="superscript"/>
        <sz val="14"/>
        <color indexed="8"/>
        <rFont val="TH SarabunPSK"/>
        <family val="2"/>
      </rPr>
      <t>2</t>
    </r>
    <r>
      <rPr>
        <b/>
        <sz val="14"/>
        <color indexed="8"/>
        <rFont val="TH SarabunPSK"/>
        <family val="2"/>
      </rPr>
      <t>)</t>
    </r>
  </si>
  <si>
    <r>
      <t>งานพื้นทาง</t>
    </r>
    <r>
      <rPr>
        <b/>
        <u val="double"/>
        <sz val="12"/>
        <color indexed="10"/>
        <rFont val="TH SarabunPSK"/>
        <family val="2"/>
      </rPr>
      <t xml:space="preserve"> ( หินคลุกปรับระดับ )</t>
    </r>
  </si>
  <si>
    <r>
      <t xml:space="preserve">ข้อมูลแหล่งวัสดุและระยะทางขนส่ง </t>
    </r>
    <r>
      <rPr>
        <b/>
        <u/>
        <sz val="16"/>
        <color indexed="10"/>
        <rFont val="TH SarabunPSK"/>
        <family val="2"/>
      </rPr>
      <t>[ ต้นทุนงานท่อ คสล. ]</t>
    </r>
  </si>
  <si>
    <r>
      <t xml:space="preserve">ตารางค่าขนส่งค่าวัสดุก่อสร้าง  </t>
    </r>
    <r>
      <rPr>
        <b/>
        <u val="double"/>
        <sz val="13.5"/>
        <color indexed="10"/>
        <rFont val="TH SarabunPSK"/>
        <family val="2"/>
      </rPr>
      <t>รถบรรทุกสิบล้อ</t>
    </r>
  </si>
  <si>
    <r>
      <t xml:space="preserve">ท่อ คสล.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0.60 ม.</t>
    </r>
  </si>
  <si>
    <r>
      <t xml:space="preserve">ท่อ คสล.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0.80 ม.</t>
    </r>
  </si>
  <si>
    <r>
      <t xml:space="preserve">ท่อ คสล.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1.00 ม.</t>
    </r>
  </si>
  <si>
    <r>
      <t xml:space="preserve">ท่อ คสล.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1.20 ม.</t>
    </r>
  </si>
  <si>
    <r>
      <t xml:space="preserve">ท่อ คสล.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1.50 ม.</t>
    </r>
  </si>
  <si>
    <r>
      <t xml:space="preserve">เหล็กเสริม  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 9 mm.</t>
    </r>
  </si>
  <si>
    <r>
      <t xml:space="preserve">เหล็กเสริม  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 12  mm.</t>
    </r>
  </si>
  <si>
    <t>60 วัน</t>
  </si>
  <si>
    <t>75 วัน</t>
  </si>
  <si>
    <t>90 วัน</t>
  </si>
  <si>
    <t>120 วัน</t>
  </si>
  <si>
    <t>150 วัน</t>
  </si>
  <si>
    <t>180 วัน</t>
  </si>
  <si>
    <t>สข.2004</t>
  </si>
  <si>
    <t>สข.2006</t>
  </si>
  <si>
    <t>สข.4013</t>
  </si>
  <si>
    <t>สข.3019</t>
  </si>
  <si>
    <t>สข.1023</t>
  </si>
  <si>
    <t>สข.4026</t>
  </si>
  <si>
    <t>สข.4029</t>
  </si>
  <si>
    <t>สข.2031</t>
  </si>
  <si>
    <t xml:space="preserve">  คลองหอยโข่ง,สะเดา </t>
  </si>
  <si>
    <t>สข.4044</t>
  </si>
  <si>
    <t>สข.5045</t>
  </si>
  <si>
    <t>สข.4046</t>
  </si>
  <si>
    <t>สข.</t>
  </si>
  <si>
    <t>สต.</t>
  </si>
  <si>
    <t>ปน.</t>
  </si>
  <si>
    <t>ยล.</t>
  </si>
  <si>
    <t>นธ.</t>
  </si>
  <si>
    <t>บ.ทุ่งนุ้ย อ.ควนกาหลง จ.สตูล</t>
  </si>
  <si>
    <t>บ.เนียง อ.เมือง จ.ยะลา</t>
  </si>
  <si>
    <t>บ.กะลุวอเหนือ อ.เมือง จ.นราธิวาส</t>
  </si>
  <si>
    <t>ต.คลองเปียะ อ.จะนะ จ.สงขลา</t>
  </si>
  <si>
    <t>9. งานถางป่าขุดตอ</t>
  </si>
  <si>
    <r>
      <t xml:space="preserve">ตารางค่าขนส่งค่าวัสดุก่อสร้าง </t>
    </r>
    <r>
      <rPr>
        <sz val="16"/>
        <color indexed="10"/>
        <rFont val="TH SarabunPSK"/>
        <family val="2"/>
      </rPr>
      <t xml:space="preserve"> รถบรรทุกสิบล้อ</t>
    </r>
  </si>
  <si>
    <r>
      <t xml:space="preserve">ตารางค่าขนส่งค่าวัสดุก่อสร้าง  </t>
    </r>
    <r>
      <rPr>
        <sz val="16"/>
        <color indexed="10"/>
        <rFont val="TH SarabunPSK"/>
        <family val="2"/>
      </rPr>
      <t>รถบรรทุกสิบล้อ + รถลากพ่วง</t>
    </r>
  </si>
  <si>
    <t>14.งาน Milling</t>
  </si>
  <si>
    <t xml:space="preserve">    ขุดลึก  5  ซม.</t>
  </si>
  <si>
    <t xml:space="preserve">    ขุดลึก  10  ซม.</t>
  </si>
  <si>
    <r>
      <t xml:space="preserve">เหล็กเสริม SR 24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6 มม.</t>
    </r>
  </si>
  <si>
    <r>
      <t xml:space="preserve">เหล็กเสริม SR 24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9 มม.</t>
    </r>
  </si>
  <si>
    <r>
      <t xml:space="preserve">เหล็กเสริม DB 30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12 มม.</t>
    </r>
  </si>
  <si>
    <t>ลึก 15 ซม.</t>
  </si>
  <si>
    <t>ลึก 20 ซม.</t>
  </si>
  <si>
    <t xml:space="preserve">           ขุดลึก 15 ซม.</t>
  </si>
  <si>
    <t>ระยะทางตลอดสาย</t>
  </si>
  <si>
    <t>แยกทางหลวงหมายเลข 42 -บ้านบาซากาจิ</t>
  </si>
  <si>
    <t>นายวโรภาส   แสงพายัพ</t>
  </si>
  <si>
    <t>สัญญาณไฟกระพริบ + ป้าย บ 1 Size 2</t>
  </si>
  <si>
    <t>สัญญาณไฟกระพริบ + ป้าย บ 1 Size 3</t>
  </si>
  <si>
    <t>สัญญาณไฟกระพริบ + ป้าย บ 1 Size 4</t>
  </si>
  <si>
    <t>ดิน</t>
  </si>
  <si>
    <t>ปรับปรุงทางเพื่อความปลอดภัย</t>
  </si>
  <si>
    <t>งานอำนวยความปลอดภัย</t>
  </si>
  <si>
    <t>ปรับปรุงแก้ไขบริเวณเสี่ยงอันตราย</t>
  </si>
  <si>
    <t>บริเวณคอขวด(ไหล่ทาง)</t>
  </si>
  <si>
    <r>
      <t>ท่อ คสล.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0.60 ม.</t>
    </r>
  </si>
  <si>
    <r>
      <t>ท่อ คสล.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0.80 ม.</t>
    </r>
  </si>
  <si>
    <r>
      <t>ท่อ คสล.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1.00 ม.</t>
    </r>
  </si>
  <si>
    <r>
      <t>ท่อ คสล.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1.20 ม.</t>
    </r>
  </si>
  <si>
    <r>
      <t>ท่อ คสล.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1.50 ม.</t>
    </r>
  </si>
  <si>
    <t>เลือกความหนา Asphaltic  Concrete  (ปูบน Prime  Coat)</t>
  </si>
  <si>
    <t>เลือกความหนา Asphaltic  Concrete  (ปูบน Tack  Coat)</t>
  </si>
  <si>
    <t>เริ่มต้น 1</t>
  </si>
  <si>
    <t>สิ้นสุด  1</t>
  </si>
  <si>
    <t>เริ่มต้น 2</t>
  </si>
  <si>
    <t>สิ้นสุด  2</t>
  </si>
  <si>
    <t>เริ่มต้น 3</t>
  </si>
  <si>
    <t>สิ้นสุด  3</t>
  </si>
  <si>
    <t>...ค่างานต้นทุนซีเมนต์ยาแนว</t>
  </si>
  <si>
    <r>
      <t xml:space="preserve">ข้อมูลแหล่งวัสดุและระยะทางขนส่ง </t>
    </r>
    <r>
      <rPr>
        <b/>
        <u/>
        <sz val="16"/>
        <color indexed="10"/>
        <rFont val="TH SarabunPSK"/>
        <family val="2"/>
      </rPr>
      <t>[ ต้นทุนงานระบบระบายน้ำ ]</t>
    </r>
  </si>
  <si>
    <t>SIDE 2</t>
  </si>
  <si>
    <t>SIDE 3</t>
  </si>
  <si>
    <t>SIDE 4</t>
  </si>
  <si>
    <r>
      <t>ป้ายจราจรแบบ</t>
    </r>
    <r>
      <rPr>
        <b/>
        <sz val="14"/>
        <rFont val="TH SarabunPSK"/>
        <family val="2"/>
      </rPr>
      <t xml:space="preserve"> ต 71</t>
    </r>
  </si>
  <si>
    <r>
      <t>ป้ายจราจรแบบ</t>
    </r>
    <r>
      <rPr>
        <b/>
        <sz val="14"/>
        <rFont val="TH SarabunPSK"/>
        <family val="2"/>
      </rPr>
      <t xml:space="preserve"> ต 72, ต 73</t>
    </r>
  </si>
  <si>
    <r>
      <t xml:space="preserve">ป้ายจราจรแบบ </t>
    </r>
    <r>
      <rPr>
        <b/>
        <sz val="14"/>
        <rFont val="TH SarabunPSK"/>
        <family val="2"/>
      </rPr>
      <t>น 1/1</t>
    </r>
  </si>
  <si>
    <r>
      <t>ป้ายจราจรแบบ</t>
    </r>
    <r>
      <rPr>
        <b/>
        <sz val="14"/>
        <rFont val="TH SarabunPSK"/>
        <family val="2"/>
      </rPr>
      <t xml:space="preserve"> น 7</t>
    </r>
    <r>
      <rPr>
        <sz val="11"/>
        <color indexed="8"/>
        <rFont val="Tahoma"/>
        <family val="2"/>
        <charset val="222"/>
      </rPr>
      <t/>
    </r>
  </si>
  <si>
    <r>
      <t>ป้ายจราจรแบบ</t>
    </r>
    <r>
      <rPr>
        <b/>
        <sz val="14"/>
        <rFont val="TH SarabunPSK"/>
        <family val="2"/>
      </rPr>
      <t xml:space="preserve"> น 8</t>
    </r>
    <r>
      <rPr>
        <sz val="11"/>
        <color indexed="8"/>
        <rFont val="Tahoma"/>
        <family val="2"/>
        <charset val="222"/>
      </rPr>
      <t/>
    </r>
  </si>
  <si>
    <r>
      <t>ป้ายจราจรแบบ</t>
    </r>
    <r>
      <rPr>
        <b/>
        <sz val="14"/>
        <rFont val="TH SarabunPSK"/>
        <family val="2"/>
      </rPr>
      <t xml:space="preserve"> นส 1 - นส 14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</si>
  <si>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 74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</si>
  <si>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 74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</si>
  <si>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 75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</si>
  <si>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 75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</si>
  <si>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 76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</si>
  <si>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 76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</si>
  <si>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 77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</si>
  <si>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 77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</si>
  <si>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 78</t>
    </r>
  </si>
  <si>
    <r>
      <t xml:space="preserve">ป้ายจราจรแบบ </t>
    </r>
    <r>
      <rPr>
        <b/>
        <sz val="14"/>
        <rFont val="TH SarabunPSK"/>
        <family val="2"/>
      </rPr>
      <t>น 1 + นส 1</t>
    </r>
    <r>
      <rPr>
        <b/>
        <sz val="13"/>
        <rFont val="TH SarabunPSK"/>
        <family val="2"/>
      </rPr>
      <t xml:space="preserve"> - นส 14</t>
    </r>
  </si>
  <si>
    <r>
      <t xml:space="preserve">ป้ายจราจรแบบ </t>
    </r>
    <r>
      <rPr>
        <b/>
        <sz val="14"/>
        <rFont val="TH SarabunPSK"/>
        <family val="2"/>
      </rPr>
      <t>น 1/1 + นส 1</t>
    </r>
    <r>
      <rPr>
        <b/>
        <sz val="13"/>
        <rFont val="TH SarabunPSK"/>
        <family val="2"/>
      </rPr>
      <t xml:space="preserve"> - นส 14</t>
    </r>
  </si>
  <si>
    <t>สีเทอร์โม</t>
  </si>
  <si>
    <t>RUMBLE STRIP</t>
  </si>
  <si>
    <t>หลักนำโค้ง</t>
  </si>
  <si>
    <t>GUARD RAIL ทางโค้ง</t>
  </si>
  <si>
    <t>GUARD RAIL ทางตรง</t>
  </si>
  <si>
    <t>TIMBER BARRICADE</t>
  </si>
  <si>
    <r>
      <t xml:space="preserve">ป้ายจราจรแบบ </t>
    </r>
    <r>
      <rPr>
        <b/>
        <sz val="14"/>
        <rFont val="TH SarabunPSK"/>
        <family val="2"/>
      </rPr>
      <t>น 3 ( 1 ชิ้น)</t>
    </r>
  </si>
  <si>
    <r>
      <t xml:space="preserve">ป้ายจราจรแบบ </t>
    </r>
    <r>
      <rPr>
        <b/>
        <sz val="14"/>
        <rFont val="TH SarabunPSK"/>
        <family val="2"/>
      </rPr>
      <t>น 3 ( 2 ชิ้น)</t>
    </r>
  </si>
  <si>
    <r>
      <t xml:space="preserve">ป้ายจราจรแบบ </t>
    </r>
    <r>
      <rPr>
        <b/>
        <sz val="14"/>
        <rFont val="TH SarabunPSK"/>
        <family val="2"/>
      </rPr>
      <t>น 3 ( 3 ชิ้น)</t>
    </r>
  </si>
  <si>
    <r>
      <t xml:space="preserve">ป้ายจราจรแบบ </t>
    </r>
    <r>
      <rPr>
        <b/>
        <sz val="14"/>
        <rFont val="TH SarabunPSK"/>
        <family val="2"/>
      </rPr>
      <t>น 2 ( 1 ชิ้น)</t>
    </r>
  </si>
  <si>
    <r>
      <t>ป้ายจราจรแบบ</t>
    </r>
    <r>
      <rPr>
        <b/>
        <sz val="14"/>
        <rFont val="TH SarabunPSK"/>
        <family val="2"/>
      </rPr>
      <t xml:space="preserve"> น 2 ( 2 ชิ้น)</t>
    </r>
  </si>
  <si>
    <r>
      <t xml:space="preserve">ป้ายจราจรแบบ </t>
    </r>
    <r>
      <rPr>
        <b/>
        <sz val="14"/>
        <rFont val="TH SarabunPSK"/>
        <family val="2"/>
      </rPr>
      <t>น 2 ( 3 ชิ้น)</t>
    </r>
  </si>
  <si>
    <r>
      <t>ป้ายจราจรแบบ</t>
    </r>
    <r>
      <rPr>
        <b/>
        <sz val="14"/>
        <rFont val="TH SarabunPSK"/>
        <family val="2"/>
      </rPr>
      <t xml:space="preserve"> น 2 ( 4 ชิ้น)</t>
    </r>
  </si>
  <si>
    <t>งานติดตั้งป้ายจราจร</t>
  </si>
  <si>
    <t>5.2.54</t>
  </si>
  <si>
    <t>5.2.55</t>
  </si>
  <si>
    <t>5.2.56</t>
  </si>
  <si>
    <t>5.2.57</t>
  </si>
  <si>
    <t>5.2.58</t>
  </si>
  <si>
    <t>5.2.59</t>
  </si>
  <si>
    <t>5.2.60</t>
  </si>
  <si>
    <t>SIZE 2</t>
  </si>
  <si>
    <t>SIZE 3</t>
  </si>
  <si>
    <t>SIZE 4</t>
  </si>
  <si>
    <t>เลือกความหนาขุดกัด</t>
  </si>
  <si>
    <t>RECYCLING</t>
  </si>
  <si>
    <t>เส้นกว้าง 0.10 ม.( 3 เส้น)</t>
  </si>
  <si>
    <t>เส้นกว้าง 0.10 ม.(ข้าง 2 เส้น)</t>
  </si>
  <si>
    <t>เส้นกว้าง 0.15 ม.( 3 เส้น)</t>
  </si>
  <si>
    <t>เส้นกว้าง 0.15 ม.(ข้าง 2 เส้น)</t>
  </si>
  <si>
    <t>ป้าย(ลำดับ 2 - 18) SIZE 2</t>
  </si>
  <si>
    <t>ป้าย(ลำดับ 2 - 18) SIZE 3</t>
  </si>
  <si>
    <t>ป้าย(ลำดับ 2 - 18) SIZE 4</t>
  </si>
  <si>
    <t>ประธาน</t>
  </si>
  <si>
    <t>กรรมการ</t>
  </si>
  <si>
    <t>นายศุภวัฒน์  กาญจนรัตน์</t>
  </si>
  <si>
    <t>ค่าแรง/หน่วย</t>
  </si>
  <si>
    <t>งานผสมและเทคอนกรีต</t>
  </si>
  <si>
    <t>รองก้นหลุม</t>
  </si>
  <si>
    <t>คอนกรีตโครงสร้าง</t>
  </si>
  <si>
    <t>ทางเท้า ทางระบายน้ำ บ่อพัก ถนนภายใน</t>
  </si>
  <si>
    <t>โครงสร้างและส่วนประกอบอาคารชั้นเดียว</t>
  </si>
  <si>
    <t>โครงสร้างและส่วนประกอบอาคารหลายชั้น</t>
  </si>
  <si>
    <t>ประกอบและติดตั้งแบบหล่อคอนกรีต</t>
  </si>
  <si>
    <t>แบบหล่อทั่วไป</t>
  </si>
  <si>
    <t>จำนวน 5,000 ตร.ม.ขึ้นไป</t>
  </si>
  <si>
    <t>จำนวนน้อยกว่า 5,000 ตร.ม.</t>
  </si>
  <si>
    <t>แบบหล่อเปลือย</t>
  </si>
  <si>
    <t>ชนิดผิวเรียบ</t>
  </si>
  <si>
    <t>ชนิดผิวมีบัวลวดลาย</t>
  </si>
  <si>
    <t>แบบหล่อที่ตั้งสูงเกินปกติ</t>
  </si>
  <si>
    <t>ท้องคานหรือท้องพื้นสูง 5.00 - 7.00 ม.</t>
  </si>
  <si>
    <t>ท้องคานหรือท้องพื้นสูงเกิน 7.00 ม.</t>
  </si>
  <si>
    <t>ผิวเรียบและผิวข้ออ้อย</t>
  </si>
  <si>
    <t>วางตะแกรงสำเร็จรูป</t>
  </si>
  <si>
    <t>แรงจูงใจตามมติ ครม.</t>
  </si>
  <si>
    <t>เรียน  อธิบดีกรมทางหลวงชนบท</t>
  </si>
  <si>
    <t xml:space="preserve">          ส่วนบูรณะได้ตรวจสอบราคากลางดังกล่าวข้างต้น</t>
  </si>
  <si>
    <t>ประธานฯ</t>
  </si>
  <si>
    <t>ตามที่คณะกรรมการกำหนดราคากลางเสนอ</t>
  </si>
  <si>
    <t xml:space="preserve">      (นางสาวปิญาภา  ศรีมณี)</t>
  </si>
  <si>
    <t xml:space="preserve">          จึงเรียนมาเพื่อโปรดพิจารณาให้ความเห็นชอบ</t>
  </si>
  <si>
    <t xml:space="preserve">      (นายวัลลภ  มูสิกะเจริญ)</t>
  </si>
  <si>
    <t xml:space="preserve">   (นายศุภวัฒน์  กาญจนรัตน์) </t>
  </si>
  <si>
    <t>(ลงชื่อ).......................................</t>
  </si>
  <si>
    <t>(ลงชื่อ)....................................................</t>
  </si>
  <si>
    <t xml:space="preserve"> ผู้อำนวยการส่วนบูรณะ</t>
  </si>
  <si>
    <t>คอนกรีตผสมเสร็จ</t>
  </si>
  <si>
    <t xml:space="preserve">ค่าแรงผสมและเทคอนกรีตผสมเสร็จ </t>
  </si>
  <si>
    <t>2.หาค่างานต้นทุนคอนกรีตหยาบ</t>
  </si>
  <si>
    <t>3.หาค่างานต้นทุนคอนกรีต ค.1</t>
  </si>
  <si>
    <t xml:space="preserve"> - ค่าคอนกรีตหยาบ</t>
  </si>
  <si>
    <t>ค่าคอนกรีต ค 1</t>
  </si>
  <si>
    <t>ค่าขนส่งท่อ คสล.</t>
  </si>
  <si>
    <t>แยกทางหลวงหมายเลข 408  - เขตเทศบาลระโนด (ตอนสงขลา)</t>
  </si>
  <si>
    <t>แยกทางหลวงหมายเลข 4  - บ้านเขารักเกียรติ</t>
  </si>
  <si>
    <t>แยกทางหลวงหมายเลข 42  - บ้านสะท้อน</t>
  </si>
  <si>
    <t>แยกทางหลวงหมายเลข 43 - เขตเทศบาลสงขลา</t>
  </si>
  <si>
    <t>แยกทางหลวงหมายเลข 407  - บ้านทุ่งหวัง</t>
  </si>
  <si>
    <t>แยกทางหลวงหมายเลข 42 - บ้านป่ากอ</t>
  </si>
  <si>
    <t>แยกทางหลวงหมายเลข 4  - ถนนสาย ก. ผังเมืองรวมเมืองสะเดา</t>
  </si>
  <si>
    <t>แยกทางหลวงหมายเลข 4083  - บ้านกระแสสินธุ์</t>
  </si>
  <si>
    <t>แยกทางหลวงหมายเลข 408 - บ้านประตูไชย</t>
  </si>
  <si>
    <t>แยกทางหลวงหมายเลข 4085 - บ้านคูหา</t>
  </si>
  <si>
    <t>แยกทางหลวงหมายเลข 4135  - บรรจบทางหลวงหมายเลข 4287</t>
  </si>
  <si>
    <t>แยกทางหลวงหมายเลข 4111 - บ้านบ่อทราย</t>
  </si>
  <si>
    <t>แยกทางหลวงหมายเลข 407 - บ้านแขยง</t>
  </si>
  <si>
    <t>แยกทางหลวงชนบทหมายเลข นศ.3053 - บ้านปากเหมือง</t>
  </si>
  <si>
    <t>แยกทางหลวงหมายเลข 43 - บ้านตลิ่งชัน</t>
  </si>
  <si>
    <t>แยกทางหลวงหมายเลข 42 - บ้านลำลอง</t>
  </si>
  <si>
    <t>แยกทางหลวงหมายเลข 408 - เขตเทศบาลพะตง</t>
  </si>
  <si>
    <t>แยกทางหลวงหมายเลข 4181 - บ้านปากจ่า</t>
  </si>
  <si>
    <t>แยกทางหลวงหมายเลข 4083 - บ้านคลองแดน</t>
  </si>
  <si>
    <t>แยกทางหลวงหมายเลข 4 - บ้านบางเหรียง</t>
  </si>
  <si>
    <t>แยกทางหลวงหมายเลข 408 - บ้านบางเขียด</t>
  </si>
  <si>
    <t>แยกทางหลวงหมายเลข 4287 - น้ำตกโตนงาช้าง</t>
  </si>
  <si>
    <t>แยกทางหลวงหมายเลข 4 - บ้านปาดังเบซาร์</t>
  </si>
  <si>
    <t>แยกทางหลวงหมายเลข 42 - สถานีรถไฟตาแปด</t>
  </si>
  <si>
    <t>แยกทางหลวงหมายเลข 4135  - ถนนสาย ค. ผังเมืองรวมหาดใหญ่</t>
  </si>
  <si>
    <t>แยกทางหลวงหมายเลข 43 - บ้านควนขี้แรด</t>
  </si>
  <si>
    <t>แยกทางหลวงหมายเลข 43  - บ้านควนหิน</t>
  </si>
  <si>
    <t>แยกทางหลวงหมายเลข 4061 - บ้านบางเก่า</t>
  </si>
  <si>
    <t>แยกทางหลวงหมายเลข 42 -บ้านสำเภา</t>
  </si>
  <si>
    <t xml:space="preserve">แยกทางหลวงหมายเลข 42 - บ้านข่าลิง </t>
  </si>
  <si>
    <t>แยกทางหลวงหมายเลข 410 - บ้านลาเกาะ</t>
  </si>
  <si>
    <t>แยกทางหลวงหมายเลข 4075 - บ้านคอกวัว</t>
  </si>
  <si>
    <t>แยกทางหลวงหมายเลข 4 - บ้านโคกโพธิ์</t>
  </si>
  <si>
    <t>แยกทางหลวงหมายเลข 42 - บ้านท่าช้าง</t>
  </si>
  <si>
    <t>แยกทางหลวงหมายเลข 42 - บ้านยะรัง</t>
  </si>
  <si>
    <t>แยกทางหลวงหมายเลข 4071 - บ้านน้ำใส</t>
  </si>
  <si>
    <t>แยกทางหลวงหมายเลข 42 - บ้านบาซาเอ</t>
  </si>
  <si>
    <t>แยกทางหลวงหมายเลข 409 - บ้านปรีกี</t>
  </si>
  <si>
    <t>แยกทางหลวงหมายเลข 42 -บ้านท่ายาลอ</t>
  </si>
  <si>
    <t>แยกทางหลวงหมายเลข 409 -บ้านม่วงเตี้ย</t>
  </si>
  <si>
    <t>แยกทางหลวงหมายเลข 4061 -บ้านน้ำบ่อ</t>
  </si>
  <si>
    <t>แยกทางหลวงหมายเลข 42 -บ้านควนคูหา</t>
  </si>
  <si>
    <t>แยกทางหลวงหมายเลข 42-บ้านลาเกาะ</t>
  </si>
  <si>
    <t>แยกทางหลวงหมายเลข 42-บ้านดูวา</t>
  </si>
  <si>
    <t>แยกทางหลวงหมายเลข 42-บ้านเจาะกะพ้อ</t>
  </si>
  <si>
    <t>แยกทางหลวงหมายเลข 4157-บ้านปาตา</t>
  </si>
  <si>
    <r>
      <t>แยกทางหลวงหมายเลข 409 -</t>
    </r>
    <r>
      <rPr>
        <sz val="16"/>
        <color indexed="10"/>
        <rFont val="TH SarabunPSK"/>
        <family val="2"/>
      </rPr>
      <t>บ้านลุตง</t>
    </r>
  </si>
  <si>
    <t>แยกทางหลวงหมายเลข 4092 -บ้านแลแวะ</t>
  </si>
  <si>
    <r>
      <t>แยกทางหลวงหมายเลข 42 -บ้านพ่อ</t>
    </r>
    <r>
      <rPr>
        <sz val="16"/>
        <color indexed="10"/>
        <rFont val="TH SarabunPSK"/>
        <family val="2"/>
      </rPr>
      <t>มิ่ง</t>
    </r>
  </si>
  <si>
    <r>
      <t>แยกทางหลวงหมายเลข 42</t>
    </r>
    <r>
      <rPr>
        <sz val="16"/>
        <rFont val="TH SarabunPSK"/>
        <family val="2"/>
      </rPr>
      <t xml:space="preserve"> - บ้านปาแด</t>
    </r>
  </si>
  <si>
    <r>
      <t xml:space="preserve">แยกทางหลวงหมายเลข 42 </t>
    </r>
    <r>
      <rPr>
        <sz val="16"/>
        <rFont val="TH SarabunPSK"/>
        <family val="2"/>
      </rPr>
      <t>- บ้านกาเยาะมาตี</t>
    </r>
  </si>
  <si>
    <r>
      <t>แยกทางหลวงหมายเลข 42</t>
    </r>
    <r>
      <rPr>
        <sz val="16"/>
        <rFont val="TH SarabunPSK"/>
        <family val="2"/>
      </rPr>
      <t xml:space="preserve"> - บ้านมูหลง</t>
    </r>
  </si>
  <si>
    <r>
      <t>แยกทางหลวงหมายเลข 410</t>
    </r>
    <r>
      <rPr>
        <sz val="16"/>
        <rFont val="TH SarabunPSK"/>
        <family val="2"/>
      </rPr>
      <t xml:space="preserve"> - บ้านแลแวะ</t>
    </r>
  </si>
  <si>
    <r>
      <t>แยกทางหลวงหมายเลข 410</t>
    </r>
    <r>
      <rPr>
        <sz val="16"/>
        <rFont val="TH SarabunPSK"/>
        <family val="2"/>
      </rPr>
      <t xml:space="preserve"> - บ้าน</t>
    </r>
    <r>
      <rPr>
        <sz val="16"/>
        <color indexed="10"/>
        <rFont val="TH SarabunPSK"/>
        <family val="2"/>
      </rPr>
      <t>ดูวา</t>
    </r>
  </si>
  <si>
    <r>
      <t>แยกทางหลวงหมายเลข 409</t>
    </r>
    <r>
      <rPr>
        <sz val="16"/>
        <rFont val="TH SarabunPSK"/>
        <family val="2"/>
      </rPr>
      <t xml:space="preserve"> - เขื่อนปัตตานี</t>
    </r>
  </si>
  <si>
    <t>แยกทางหลวงชนบท ปน.3057  - บ้านเกาะจัน</t>
  </si>
  <si>
    <t xml:space="preserve">แยกทางหลวงหมายเลข 42-น้ำตกทรายขาว </t>
  </si>
  <si>
    <t>แยกทางหลวงหมายเลข 42 -บ้านสายบุรี</t>
  </si>
  <si>
    <r>
      <t>แยกทางหลวงหมายเลข 42</t>
    </r>
    <r>
      <rPr>
        <sz val="16"/>
        <rFont val="TH SarabunPSK"/>
        <family val="2"/>
      </rPr>
      <t xml:space="preserve"> - บ้านแหลมตาชี</t>
    </r>
  </si>
  <si>
    <r>
      <t xml:space="preserve">แยกทางหลวงหมายเลข 42 </t>
    </r>
    <r>
      <rPr>
        <sz val="16"/>
        <rFont val="TH SarabunPSK"/>
        <family val="2"/>
      </rPr>
      <t xml:space="preserve"> - บ้านช้างไห้ตก</t>
    </r>
  </si>
  <si>
    <r>
      <t>แยกทางหลวงหมายเลข 42</t>
    </r>
    <r>
      <rPr>
        <sz val="16"/>
        <rFont val="TH SarabunPSK"/>
        <family val="2"/>
      </rPr>
      <t xml:space="preserve"> - บ้านปรุหรน</t>
    </r>
  </si>
  <si>
    <t>แยกทางหลวงหมายเลข 42 - บ้านท่าข้าม</t>
  </si>
  <si>
    <t>แยกทางหลวงหมายเลข 410 - บ้านถนน</t>
  </si>
  <si>
    <t>แยกทางหลวงหมายเลข 42 - บ้านตันหยง</t>
  </si>
  <si>
    <t>แยกทางหลวงหมายเลข 42 -   บ้านท่ากูโบ</t>
  </si>
  <si>
    <t>แยกทางหลวงหมายเลข 42 - บ้านปรัง</t>
  </si>
  <si>
    <t>แยกทางหลวงหมายเลข 3071 -  บ้านภูมี</t>
  </si>
  <si>
    <t>แยกทางหลวงหมายเลข 309 -  บ้านตาแปด</t>
  </si>
  <si>
    <t>ค่างานต้นทุน</t>
  </si>
  <si>
    <t>ค่างานทั้งหมด</t>
  </si>
  <si>
    <t>ที่เลือก</t>
  </si>
  <si>
    <t>แรงจูงใจ</t>
  </si>
  <si>
    <t>ต.ทุ่งตำเสา อ.หาดใหญ่ จ.สงขลา</t>
  </si>
  <si>
    <t>ประมาณราคางานบำรุงรักษาระบบโครงข่ายทาง</t>
  </si>
  <si>
    <t>รหัส โครงการ</t>
  </si>
  <si>
    <t>ชื่อ</t>
  </si>
  <si>
    <t>(นายวโรภาส  แสงพายัพ)</t>
  </si>
  <si>
    <t>พท.</t>
  </si>
  <si>
    <t>บ.ใหม่ อ.ควนขนุน จ.พัทลุง</t>
  </si>
  <si>
    <t>แยกทางหลวงหมายเลข 408  - บ้านคูนายสังข์</t>
  </si>
  <si>
    <t>แยกทางหลวงหมายเลข 406 - บรรจบทางหลวงหมายเลข 4287</t>
  </si>
  <si>
    <t>แยกทางหลวงหมายเลข 42  - บ้านพรุเตียว</t>
  </si>
  <si>
    <t>ทางหลวงหมายเลข 4145  - บ้านโคกม่วง</t>
  </si>
  <si>
    <t>แยกทางหลวงหมายเลข 4  - บรรจบทางหลวงหมายเลข 4287</t>
  </si>
  <si>
    <t>แยกทางหลวงหมายเลข 43  - บ้านปากทุ่ง</t>
  </si>
  <si>
    <t>แยกทางหลวงหมายเลข 4135  - บ้านทุ่งนามะพร้าว</t>
  </si>
  <si>
    <t>แยกทางหลวงหมายเลข 408 - บ้านสทิงหม้อ</t>
  </si>
  <si>
    <t>แยกทางหลวงหมายเลข 42  - บ้านวังปริง</t>
  </si>
  <si>
    <t>แยกทางหลวงหมายเลข 4135  - บรรจบทางหลวงหมายเลข 4145</t>
  </si>
  <si>
    <t>แยกทางหลวงหมายเลข 4287  - บ้านป่ายาง</t>
  </si>
  <si>
    <t>แยกทางหลวงชนบทหมายเลข สข.4037  - บ้านเขานุ้ย</t>
  </si>
  <si>
    <t>แยกทางหลวงหมายเลข 4287  - บ้านหินผุด</t>
  </si>
  <si>
    <t>แยกทางหลวงหมายเลข 4135 -บ้านโคกม่วง</t>
  </si>
  <si>
    <t>แยกทางหลวงหมายเลข 408  - บ้านชุมพล</t>
  </si>
  <si>
    <t>แยกทางหลวงหมายเลข 4208  - บ้านโล๊ะหนุน</t>
  </si>
  <si>
    <t>แยกทางหลวงหมายเลข 4111  -บ้านท่าหยี</t>
  </si>
  <si>
    <t>แยกทางหลวงหมายเลข 4053  - เขตเทศบาลควนเนียง</t>
  </si>
  <si>
    <t>แยกทางหลวงชนบทหมายเลข สข.4034  - ฟาร์มตัวอย่างในสมเด็จพระนางเจ้าพระบรมราชินีนาถ</t>
  </si>
  <si>
    <t>แยกทางหลวงหมายเลข 4  - นิคมอุตสาหกรรมฉลุง</t>
  </si>
  <si>
    <t>แยกถนน ชป. เข้าอ่างเก็บน้ำคลองหลา  - บ้านท่าหรั่ง</t>
  </si>
  <si>
    <t>แยกทางหลวงหมายเลข 4  - บ้านเขามีเกียรติ</t>
  </si>
  <si>
    <t>แยกทางหลวงหมายเลข 408  - บ้านคูศักดิ์สิทธิ์</t>
  </si>
  <si>
    <t>แยกทางหลวงหมายเลข 407  - ถนนสาย ก.ผังเมืองรวมเมืองหาดใหญ่</t>
  </si>
  <si>
    <t>แยกทางหลวงหมายเลข 4  - บ้านไร่</t>
  </si>
  <si>
    <t>แยกทางหลวงหมายเลข 4113  - บ้านลาแล</t>
  </si>
  <si>
    <t>แยกทางหลวงหมายเลข 4113  - บ้านทุ่งลัง</t>
  </si>
  <si>
    <t>แยกทางหลวงหมายเลข 4  - บ้านยางเกาะ</t>
  </si>
  <si>
    <t>แยกทางหลวงหมายเลข 4145 -บ้านม่วงก็อง</t>
  </si>
  <si>
    <t>แยกทางหลวงหมายเลข 408  - วัดท้ายยอ</t>
  </si>
  <si>
    <t>แยกทางหลวงชนบทหมายเลข สข.4026  - น้ำตกโตนเรือ</t>
  </si>
  <si>
    <t>แยกทางหลวงหมายเลข 416  -  บ้านฉลุง</t>
  </si>
  <si>
    <t>แยกทางหลวงหมายเลข 416  - บ้านลาหงา</t>
  </si>
  <si>
    <t xml:space="preserve">แยกทางหลวงหมายเลข 4137   - น้ำตกดาวกระจาย </t>
  </si>
  <si>
    <t>แยกทางหลวงหมายเลข 406  - บ้านทุ่ง</t>
  </si>
  <si>
    <t>แยกทางหลวงหมายเลข 416   -บ้านสะพานวา</t>
  </si>
  <si>
    <t>แยกทางหลวงชนบท สต.3014  - ถ้ำภูผาเพชร</t>
  </si>
  <si>
    <t>แยกทางหลวงหมายเลข 416  -บ้านผัง 1</t>
  </si>
  <si>
    <t>แยกทางหลวงหมายเลข 4137  - บ้านปากคอก</t>
  </si>
  <si>
    <t>แยกทางหลวงหมายเลข 416  - น้ำตกวังสายทอง  -  น้ำตกวังสายธาร</t>
  </si>
  <si>
    <t>แยกทางหลวงหมายเลข 416   -บ้านคลองกรวด</t>
  </si>
  <si>
    <t>แยกทางหลวงหมายเลข 4137  - เทศบาลตำบลควนโดน</t>
  </si>
  <si>
    <t>แยกทางหลวงหมายเลข 416   - ถ้ำเจ็ดคต</t>
  </si>
  <si>
    <t>แยกทางหลวงหมายเลข 416   -  บ้านโคกทราย</t>
  </si>
  <si>
    <t>แยกทางหลวงหมายเลข 406   - บ้านกุบังปะโหลด</t>
  </si>
  <si>
    <t>แยกทางหลวงชนบท สต.3007  - บ้านผัง 35</t>
  </si>
  <si>
    <t>แยกทางหลวงหมายเลข 416  - บ้านท่าศิลา-บ้านตันหยงละไน้</t>
  </si>
  <si>
    <t>แยกทางหลวงหมายเลข 406  - บ้านการันยีตัน</t>
  </si>
  <si>
    <t>แยกทางหลวงหมายเลข 4052  - บ้านบากันโต๊ะทิด</t>
  </si>
  <si>
    <t>แยกทางหลวงหมายเลข 416   - น้ำตกธารปลิว</t>
  </si>
  <si>
    <t>แยกทางหลวงหมายเลข 416  -บ้านปาล์ม 4</t>
  </si>
  <si>
    <t>แยกทางหลวงชนบท สต.3007  - บ้านเหนือคลอง</t>
  </si>
  <si>
    <t>แยกทางหลวงหมายเลข 416  -  บ้านซอย 4</t>
  </si>
  <si>
    <t>แยกทางหลวงหมายเลข 416  -  บ้านทุ่งดินลุ่ม</t>
  </si>
  <si>
    <t>แยกทางหลวงชนบท สต.3001  - บ้านปันนังปุเลา</t>
  </si>
  <si>
    <r>
      <t>แยกทางหลวงหมายเลข 416  -บ้าน</t>
    </r>
    <r>
      <rPr>
        <sz val="16"/>
        <color indexed="10"/>
        <rFont val="TH SarabunPSK"/>
        <family val="2"/>
      </rPr>
      <t>นาข่า</t>
    </r>
  </si>
  <si>
    <r>
      <t>แยกทางหลวงหมายเลข 4137  -บ้าน</t>
    </r>
    <r>
      <rPr>
        <sz val="16"/>
        <color indexed="10"/>
        <rFont val="TH SarabunPSK"/>
        <family val="2"/>
      </rPr>
      <t>ผัง 120</t>
    </r>
  </si>
  <si>
    <r>
      <t xml:space="preserve">แยกทางหลวงหมายเลข 416 </t>
    </r>
    <r>
      <rPr>
        <sz val="16"/>
        <rFont val="TH SarabunPSK"/>
        <family val="2"/>
      </rPr>
      <t xml:space="preserve"> -บ้านทุ่งบุหลัง</t>
    </r>
  </si>
  <si>
    <r>
      <t>แยกทางหลวงหมายเลข 416</t>
    </r>
    <r>
      <rPr>
        <sz val="16"/>
        <rFont val="TH SarabunPSK"/>
        <family val="2"/>
      </rPr>
      <t xml:space="preserve"> - บ้านทุ่งริ้น</t>
    </r>
  </si>
  <si>
    <r>
      <t xml:space="preserve">แยกทางหลวงหมายเลข 416 </t>
    </r>
    <r>
      <rPr>
        <sz val="16"/>
        <rFont val="TH SarabunPSK"/>
        <family val="2"/>
      </rPr>
      <t xml:space="preserve"> - บ้านสาคร</t>
    </r>
  </si>
  <si>
    <r>
      <t xml:space="preserve">แยกทางหลวงหมายเลข 4051 </t>
    </r>
    <r>
      <rPr>
        <sz val="16"/>
        <rFont val="TH SarabunPSK"/>
        <family val="2"/>
      </rPr>
      <t xml:space="preserve"> - บ้าน</t>
    </r>
    <r>
      <rPr>
        <sz val="16"/>
        <color indexed="10"/>
        <rFont val="TH SarabunPSK"/>
        <family val="2"/>
      </rPr>
      <t>หาดทรายยาว</t>
    </r>
  </si>
  <si>
    <t>แยกทางหลวงชนบท สต.4004  - บ้านผัง 6</t>
  </si>
  <si>
    <t>แยกทางหลวงชนบท สต.5041  - บ้านศาลเจ้า</t>
  </si>
  <si>
    <t>แยกทางหลวงชนบท สต.3007  - บ้านผังปาล์ม 7</t>
  </si>
  <si>
    <t>แยกทางหลวงหมายเลข 4056 -บ้านตันหยงมัส</t>
  </si>
  <si>
    <t>แยกทางหลวงชนบท นธ.4014 - บ้านไอร์สะเตียร์</t>
  </si>
  <si>
    <t>แยกทางหลวงหมายเลข 4 - บ้านมะนังตายอ</t>
  </si>
  <si>
    <t>แยกทางหลวงหมายเลข 4155 - บ้านบือแนปีแย</t>
  </si>
  <si>
    <t>แยกทางหลวงหมายเลข 42 - บ้านค่าย</t>
  </si>
  <si>
    <t>แยกทางหลวงหมายเลข 4060 - บ้านบริจ๊ะ</t>
  </si>
  <si>
    <t>แยกทางหลวงหมายเลข 4136 - ภายในศูนย์ราชการ</t>
  </si>
  <si>
    <t>แยกทางหลวงหมายเลข 4055 - บ้านป่าไผ่</t>
  </si>
  <si>
    <t>แยกทางหลวงหมายเลข 4084 - บ้านบายะ</t>
  </si>
  <si>
    <t>แยกทางหลวงหมายเลข 4057 - บ้านบูเก๊ะตา</t>
  </si>
  <si>
    <t>แยกทางหลวงหมายเลข 4055 - บ้านบูเก๊ะซามี</t>
  </si>
  <si>
    <t>แยกทางหลวงหมายเลข 4060 - บ้านน้ำวน</t>
  </si>
  <si>
    <t>แยกทางหลวงหมายเลข 4056 - บ้านสาเมาะ</t>
  </si>
  <si>
    <t>แยกทางหลวงหมายเลข 4066 - บ้านกาโด๊ะ</t>
  </si>
  <si>
    <t>แยกทางหลวงหมายเลข 4067 - บ้านคอลอกาเว</t>
  </si>
  <si>
    <t>แยกทางหลวงหมายเลข 4056 - บ้านกูจำ</t>
  </si>
  <si>
    <t>แยกทางหลวงหมายเลข 4056 - บ้านปิเหล็ง</t>
  </si>
  <si>
    <t>แยกทางหลวงหมายเลข 42 - บ้านคลอแระ</t>
  </si>
  <si>
    <t>แยกทางหลวงหมายเลข 4107 - บ้านยี่งอ</t>
  </si>
  <si>
    <t>แยกทางหลวงหมายเลข 4056 - บ้านแบง</t>
  </si>
  <si>
    <t>แยกทางหลวงหมายเลข 42 - บ้านศาลาใหม่</t>
  </si>
  <si>
    <t>แยกทางหลวงหมายเลข 4057 - บ้านเจาะลีมัต</t>
  </si>
  <si>
    <t>แยกทางหลวงหมายเลข 4055 - บ้านยานิง</t>
  </si>
  <si>
    <t>แยกทางหลวงชนบท นธ.4013 - บ้านบูเก๊ะซามี</t>
  </si>
  <si>
    <t>แยกทางหลวงหมายเลข 4058 - บ้านพิธาน</t>
  </si>
  <si>
    <t>แยกทางหลวงชนบท นธ.4019 - บ้านป่าหวาย</t>
  </si>
  <si>
    <t>แยกทางหลวงชนบท นธ. 4018 - บ.ไอร์จาดา</t>
  </si>
  <si>
    <t>แยกทางหลวงหมายเลข 42-บ้านมูโน๊ะ</t>
  </si>
  <si>
    <t>แยกทางหลวงหมายเลข 4082 - บ้านจือนือแร</t>
  </si>
  <si>
    <t>แยกทางหลวงหมายเลข 409  - บ้านลำใหม่</t>
  </si>
  <si>
    <t>แยกทางหลวงหมายเลข 410  - บ้านปิยะมิตร 1</t>
  </si>
  <si>
    <t>แยกทางหลวงหมายเลข 410  - บ้านหินลูกช้าง</t>
  </si>
  <si>
    <t>แยกทางหลวงหมายเลข 410  - บ้านคอกช้าง</t>
  </si>
  <si>
    <t>แยกทางหลวงหมายเลข 4070 - บ้านแอและ</t>
  </si>
  <si>
    <t>แยกทางหลวงหมายเลข 410  - บ้านสะเอ๊ะ</t>
  </si>
  <si>
    <t>แยกทางหลวงหมายเลข 410  - บ้านบางลาง</t>
  </si>
  <si>
    <t>แยกทางหลวงหมายเลข 4067 - บ้านกายูบอเกาะ</t>
  </si>
  <si>
    <t>แยกทางหลวงหมายเลข 4065  - บ้านลำพะยา</t>
  </si>
  <si>
    <t>แยกทางหลวงชนบท ยล.3015  - บ้านเจาะกาดง</t>
  </si>
  <si>
    <t>แยกทางหลวงหมายเลข 410  - บ้านคอราแม</t>
  </si>
  <si>
    <t>แยกทางหลวงหมายเลข 4063 - บ้านบุดี</t>
  </si>
  <si>
    <t>แยกทางหลวงหมายเลข 4067  - บ้านโกตาบารู</t>
  </si>
  <si>
    <t>แยกทางหลวงหมายเลข 4066  - บ้านกาลอ</t>
  </si>
  <si>
    <t>แยกทางหลวงหมายเลข 4065  - บ้านบูเก๊ะ</t>
  </si>
  <si>
    <t>แยกทางหลวงหมายเลข 410 - บ้านจันทรัตน์</t>
  </si>
  <si>
    <t>แยกทางหลวงหมายเลข 410  -บ้านสุตันตานนท์</t>
  </si>
  <si>
    <r>
      <t>แยกทางหลวงหมายเลข 407</t>
    </r>
    <r>
      <rPr>
        <sz val="16"/>
        <color indexed="10"/>
        <rFont val="TH SarabunPSK"/>
        <family val="2"/>
      </rPr>
      <t xml:space="preserve">6 </t>
    </r>
    <r>
      <rPr>
        <sz val="16"/>
        <rFont val="TH SarabunPSK"/>
        <family val="2"/>
      </rPr>
      <t xml:space="preserve"> - บ้านลาบู</t>
    </r>
  </si>
  <si>
    <t>แยกทางหลวงหมายเลข 4077 - บ้านปะแต</t>
  </si>
  <si>
    <r>
      <t xml:space="preserve">แยกทางหลวงหมายเลข 410 </t>
    </r>
    <r>
      <rPr>
        <sz val="16"/>
        <rFont val="TH SarabunPSK"/>
        <family val="2"/>
      </rPr>
      <t>- บ้านกระป๋อง</t>
    </r>
  </si>
  <si>
    <t>LT</t>
  </si>
  <si>
    <t>RT</t>
  </si>
  <si>
    <t>ซ้ายทาง</t>
  </si>
  <si>
    <t>ขวาทาง</t>
  </si>
  <si>
    <t>ท่อ คสล.</t>
  </si>
  <si>
    <t>...ค่างานต้นทุนคอนกรีตหยาบ</t>
  </si>
  <si>
    <t>ค่าวัสดุคันหิน</t>
  </si>
  <si>
    <t>ค่าแรงคันหิน</t>
  </si>
  <si>
    <t>คันหิน</t>
  </si>
  <si>
    <t>คันหินรางตื้น</t>
  </si>
  <si>
    <t>ตำแหน่ง คันหิน</t>
  </si>
  <si>
    <t>ค่าวัสดุคันหินรางตื้น</t>
  </si>
  <si>
    <t>ค่าแรงคันหินรางตื้น</t>
  </si>
  <si>
    <r>
      <t>ท่อ</t>
    </r>
    <r>
      <rPr>
        <b/>
        <sz val="16"/>
        <rFont val="Symbol"/>
        <family val="1"/>
        <charset val="2"/>
      </rPr>
      <t>Æ</t>
    </r>
    <r>
      <rPr>
        <b/>
        <sz val="16"/>
        <rFont val="TH SarabunPSK"/>
        <family val="2"/>
      </rPr>
      <t xml:space="preserve"> 0.60</t>
    </r>
  </si>
  <si>
    <r>
      <t>ท่อ</t>
    </r>
    <r>
      <rPr>
        <b/>
        <sz val="16"/>
        <rFont val="Symbol"/>
        <family val="1"/>
        <charset val="2"/>
      </rPr>
      <t>Æ</t>
    </r>
    <r>
      <rPr>
        <b/>
        <sz val="16"/>
        <rFont val="TH SarabunPSK"/>
        <family val="2"/>
      </rPr>
      <t xml:space="preserve"> 0.80</t>
    </r>
  </si>
  <si>
    <r>
      <t>ท่อ</t>
    </r>
    <r>
      <rPr>
        <b/>
        <sz val="16"/>
        <rFont val="Symbol"/>
        <family val="1"/>
        <charset val="2"/>
      </rPr>
      <t>Æ</t>
    </r>
    <r>
      <rPr>
        <b/>
        <sz val="16"/>
        <rFont val="TH SarabunPSK"/>
        <family val="2"/>
      </rPr>
      <t xml:space="preserve"> 1.00</t>
    </r>
  </si>
  <si>
    <r>
      <t>ท่อ</t>
    </r>
    <r>
      <rPr>
        <b/>
        <sz val="16"/>
        <rFont val="Symbol"/>
        <family val="1"/>
        <charset val="2"/>
      </rPr>
      <t>Æ</t>
    </r>
    <r>
      <rPr>
        <b/>
        <sz val="16"/>
        <rFont val="TH SarabunPSK"/>
        <family val="2"/>
      </rPr>
      <t xml:space="preserve"> 1.20</t>
    </r>
  </si>
  <si>
    <r>
      <t>ท่อ</t>
    </r>
    <r>
      <rPr>
        <b/>
        <sz val="16"/>
        <rFont val="Symbol"/>
        <family val="1"/>
        <charset val="2"/>
      </rPr>
      <t>Æ</t>
    </r>
    <r>
      <rPr>
        <b/>
        <sz val="16"/>
        <rFont val="TH SarabunPSK"/>
        <family val="2"/>
      </rPr>
      <t xml:space="preserve"> 1.50</t>
    </r>
  </si>
  <si>
    <t>งานดินขุด</t>
  </si>
  <si>
    <t>รายละเอียดงวดงาน</t>
  </si>
  <si>
    <t xml:space="preserve">ชื่องาน </t>
  </si>
  <si>
    <t>สาย</t>
  </si>
  <si>
    <t>ที่ตั้ง</t>
  </si>
  <si>
    <t>ลักษณะงาน</t>
  </si>
  <si>
    <t>ผิวจราจรกว้าง</t>
  </si>
  <si>
    <t xml:space="preserve">เมตร </t>
  </si>
  <si>
    <t>ไหล่ทางกว้างข้างละ</t>
  </si>
  <si>
    <t xml:space="preserve">กิโลเมตร  </t>
  </si>
  <si>
    <t>ระยะเวลาก่อสร้าง</t>
  </si>
  <si>
    <t>วัน นับถัดจากวันลงนามในสัญญา</t>
  </si>
  <si>
    <t>ค่าจ้าง</t>
  </si>
  <si>
    <t>เป็นเงินทั้งสิ้น</t>
  </si>
  <si>
    <t>งวดงาน ตามรายละเอียดดังนี้</t>
  </si>
  <si>
    <t>ก.งานถนน</t>
  </si>
  <si>
    <t>งวดงานที่</t>
  </si>
  <si>
    <t>เมื่อผู้รับจ้างได้ปฎิบัติงาน</t>
  </si>
  <si>
    <r>
      <rPr>
        <b/>
        <u/>
        <sz val="16"/>
        <color indexed="8"/>
        <rFont val="TH SarabunIT๙"/>
        <family val="2"/>
      </rPr>
      <t>งานที่ปรับราคาได้ประเภทงานดิน</t>
    </r>
    <r>
      <rPr>
        <sz val="16"/>
        <color indexed="8"/>
        <rFont val="TH SarabunIT๙"/>
        <family val="2"/>
      </rPr>
      <t xml:space="preserve"> </t>
    </r>
  </si>
  <si>
    <t>(ซึ่งจะแล้วเสร็จภายใน</t>
  </si>
  <si>
    <t>วัน  นับถัดจากวันลงนามในสัญญา)</t>
  </si>
  <si>
    <r>
      <t>1.งานที่ปรับราคาได้ประเภทงาน Prime Coat</t>
    </r>
    <r>
      <rPr>
        <b/>
        <sz val="16"/>
        <color indexed="8"/>
        <rFont val="TH SarabunIT๙"/>
        <family val="2"/>
      </rPr>
      <t/>
    </r>
  </si>
  <si>
    <t>เป็นเงิน</t>
  </si>
  <si>
    <t xml:space="preserve"> -  งาน Prime Coat แล้วเสร็จไม่น้อยกว่า </t>
  </si>
  <si>
    <t>2.งานที่ปรับราคาได้ประเภทงาน Asphaltic Concrete</t>
  </si>
  <si>
    <t xml:space="preserve"> - งาน  Asphaltic Concrete  แล้วเสร็จไม่น้อยกว่า </t>
  </si>
  <si>
    <t>(สุดท้าย)</t>
  </si>
  <si>
    <t xml:space="preserve"> -  งาน Prime Coat ที่เหลือทั้งหมด แล้วเสร็จ เรียบร้อย  ถูกต้อง  ครบถ้วน ตามแบบรูปและรายละเอียดของสัญญาข้อ 2 และคำชี้แจงประกอบแบบแปลนทุกประการ</t>
  </si>
  <si>
    <t>4.งานที่ปรับราคาได้ประเภทงาน Asphaltic Concrete</t>
  </si>
  <si>
    <t xml:space="preserve"> - งาน  Asphaltic Concrete  ที่เหลือทั้งหมด แล้วเสร็จ เรียบร้อย  ถูกต้อง  ครบถ้วน ตามแบบรูปและรายละเอียดของสัญญาข้อ 2 และคำชี้แจงประกอบแบบแปลนทุกประการ</t>
  </si>
  <si>
    <t>5.งานที่ปรับราคาไม่ได้</t>
  </si>
  <si>
    <t xml:space="preserve">การเบิกค่าจ้าง ผู้รับจ้างสามารถเบิกค่าจ้างข้ามงวดได้ (ยกเว้นงวดสุดท้าย)
</t>
  </si>
  <si>
    <t>ผู้แบ่งงวดงาน……………..……..…..….........นายช่างโยธาชำนาญงาน</t>
  </si>
  <si>
    <t>(นายวัลลภ  มูสิกะเจริญ)</t>
  </si>
  <si>
    <t>……………..……..…..…......... ผู้อำนวยการส่วนบูรณะ</t>
  </si>
  <si>
    <t xml:space="preserve">ซึ่งได้รวมภาษีมูลค่าเพิ่มตลอดจน ภาษีอากรอื่น ๆ และค่าใช้จ่ายทั้งปวงด้วยแล้วโดยถือราคาเหมารวม
</t>
  </si>
  <si>
    <t xml:space="preserve">เป็นเกณฑ์การจ่ายเงินค่าจ้าง ผู้ว่าจ้างตกลงจ่ายและผู้รับจ้างตกลงรับเงินค่าจ้างเป็น งวด ๆ รวมจำนวน </t>
  </si>
  <si>
    <t xml:space="preserve"> - งาน Benching  ที่เหลือทั้งหมด แล้วเสร็จ เรียบร้อย  ถูกต้อง  ครบถ้วน ตามแบบรูปและรายละเอียดของสัญญาข้อ 2 และคำชี้แจงประกอบแบบแปลนทุกประการ</t>
  </si>
  <si>
    <t xml:space="preserve"> - งานตีเส้นจราจรสีเทอร์โมพลาสติก,ปรับปรุง/ติดตั้งเครื่องหมายจราจรและอุปกรณ์อำนวยความปลอดภัยทางถนน ทั้งหมด  แล้วเสร็จ เรียบร้อย ถูกต้อง ครบถ้วน ตามแบบรูปและรายการละเอียดของสัญญาข้อ 2 และคำชี้แจงประกอบ
แบบแปลนทุกประการ
</t>
  </si>
  <si>
    <t>นาทวี, สะบ้าย้อย,กาบัง</t>
  </si>
  <si>
    <t>Skin   Patch /ปรับระดับผิวทาง</t>
  </si>
  <si>
    <t>กม. งบประมาณ</t>
  </si>
  <si>
    <t>ผิวทางกว้าง</t>
  </si>
  <si>
    <t>ม.     ไหล่ทางกว้าง</t>
  </si>
  <si>
    <t>ขยายผิวทางลาดยาง</t>
  </si>
  <si>
    <t>ผิวทางคอนกรีต</t>
  </si>
  <si>
    <t>ปริมาณคอนกรีต</t>
  </si>
  <si>
    <t>ทรายรองพื้นทาง</t>
  </si>
  <si>
    <t>ลูกรังปิดไหล่ทาง</t>
  </si>
  <si>
    <t>นน.</t>
  </si>
  <si>
    <t>(ลบ.ม.)</t>
  </si>
  <si>
    <t>(ตัน)</t>
  </si>
  <si>
    <t>Transverse temperature steel</t>
  </si>
  <si>
    <t>Longitudinal temperature steel</t>
  </si>
  <si>
    <t>6 RB 24</t>
  </si>
  <si>
    <t>9 RB 24</t>
  </si>
  <si>
    <t>ยาว(ม.)</t>
  </si>
  <si>
    <t>รวม(ม.)</t>
  </si>
  <si>
    <t>Smooth dowel bars</t>
  </si>
  <si>
    <t>Deformed tie bar</t>
  </si>
  <si>
    <t>25 RB 24</t>
  </si>
  <si>
    <t>12 DB 30</t>
  </si>
  <si>
    <t>ต่อ 10 เมตร</t>
  </si>
  <si>
    <t>ทั้งโครงการ</t>
  </si>
  <si>
    <t>KG.</t>
  </si>
  <si>
    <t>Wire mash</t>
  </si>
  <si>
    <t>Transverse temperature steel     6 RB 24</t>
  </si>
  <si>
    <t>Longitudinal temperature steel  9  RB 24</t>
  </si>
  <si>
    <t>Smooth dowel bars                 25  RB 24</t>
  </si>
  <si>
    <t>Deformed tie bar                    12 DR 30</t>
  </si>
  <si>
    <t>จำนวน ช่วงทั้งหมด</t>
  </si>
  <si>
    <t>Joint Sealer</t>
  </si>
  <si>
    <t>TTS(W )</t>
  </si>
  <si>
    <t>LTS</t>
  </si>
  <si>
    <t>Length</t>
  </si>
  <si>
    <t>spacing</t>
  </si>
  <si>
    <t>TTS</t>
  </si>
  <si>
    <t>Spacing</t>
  </si>
  <si>
    <t>Wire Mesh</t>
  </si>
  <si>
    <r>
      <t>mm.</t>
    </r>
    <r>
      <rPr>
        <b/>
        <vertAlign val="superscript"/>
        <sz val="12"/>
        <rFont val="TH SarabunPSK"/>
        <family val="2"/>
      </rPr>
      <t>2</t>
    </r>
  </si>
  <si>
    <t>4 mm.</t>
  </si>
  <si>
    <t>5 mm.</t>
  </si>
  <si>
    <t>6 mm.</t>
  </si>
  <si>
    <t>ครึ่งผิวทาง</t>
  </si>
  <si>
    <t>ความหนาผิวทาง 0.15 ม.</t>
  </si>
  <si>
    <t>ความหนาผิวทาง 0.18 ม.</t>
  </si>
  <si>
    <t>ความหนาผิวทาง 0.20 ม.</t>
  </si>
  <si>
    <t>ความหนาผิวทาง 0.23 ม.</t>
  </si>
  <si>
    <t>เหล็กที่ใช้</t>
  </si>
  <si>
    <t>เหล็กเส้น</t>
  </si>
  <si>
    <t>งานคอนกรีต ค 3</t>
  </si>
  <si>
    <t>ค่าหินผสมคอนกรีต</t>
  </si>
  <si>
    <t>...ค่างานต้นทุนคอนกรีต ค.3</t>
  </si>
  <si>
    <t>หาค่าวัสดุไม้แบบต่อพื้นที่  1  ตารางเมตร</t>
  </si>
  <si>
    <t>บาท คิดงานไม้ตามกรมบัญชีกลางให้ 1/4  ของราคา</t>
  </si>
  <si>
    <t>งานผิวทางคอนกรีตเสริมเหล็ก</t>
  </si>
  <si>
    <t>ผิวทาง หนา</t>
  </si>
  <si>
    <t>W/2 =</t>
  </si>
  <si>
    <t>ม.    พื้นที่ทั้งหมด</t>
  </si>
  <si>
    <t>แผ่นพลาสติก</t>
  </si>
  <si>
    <t>ตัน @</t>
  </si>
  <si>
    <t>เหล็กเสริม  RB 25 mm.</t>
  </si>
  <si>
    <t>ค่าแรงประกอบไม้แบบคอนกรีตเปลือย</t>
  </si>
  <si>
    <t>...ค่าแรงงานผิวทางคอนกรีตเสริมเหล็ก/ตารางเมตร</t>
  </si>
  <si>
    <t>...ค่างานต้นทุนงานผิวทางคอนกรีตเสริมเหล็ก/ตารางเมตร</t>
  </si>
  <si>
    <t>...สรุปค่างานต้นทุนงานผิวทางคอนกรีตเสริมเหล็ก/ตารางเมตร</t>
  </si>
  <si>
    <t>กรณีใช้เหล็ก Wire mash</t>
  </si>
  <si>
    <r>
      <t xml:space="preserve">ใช้เหล็ก Wire Mesh ขนาด  </t>
    </r>
    <r>
      <rPr>
        <sz val="14"/>
        <rFont val="Symbol"/>
        <family val="1"/>
        <charset val="2"/>
      </rPr>
      <t>Æ</t>
    </r>
  </si>
  <si>
    <t>ระยะตะแกรงที่ต้องการ</t>
  </si>
  <si>
    <t>ม.   =</t>
  </si>
  <si>
    <t>Sq.mm/m.</t>
  </si>
  <si>
    <t>ค่าขนส่งเหล็ก Wire mash</t>
  </si>
  <si>
    <t>ค่าแรงวางเหล็ก</t>
  </si>
  <si>
    <r>
      <t xml:space="preserve">SR 24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6 มม.</t>
    </r>
  </si>
  <si>
    <r>
      <t xml:space="preserve">SR 24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9 มม.</t>
    </r>
  </si>
  <si>
    <r>
      <t xml:space="preserve">DB 30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12 มม.</t>
    </r>
  </si>
  <si>
    <r>
      <t xml:space="preserve">RB 24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25 มม.</t>
    </r>
  </si>
  <si>
    <t>พื้นทางเดิมลูกรัง</t>
  </si>
  <si>
    <t>พื้นทางเดิมหินคลุก</t>
  </si>
  <si>
    <t>Reinforced  Concrete</t>
  </si>
  <si>
    <t>ลูกรังบดอัดแน่น</t>
  </si>
  <si>
    <t xml:space="preserve">ซ่อมสร้างผิวทาง  Concrete </t>
  </si>
  <si>
    <t xml:space="preserve">ยกระดับคันทาง ผิวทาง  Concrete </t>
  </si>
  <si>
    <t>ยกระดับคันทาง ผิวทาง  Asphaltic  Concrete</t>
  </si>
  <si>
    <t>ปรับปรุงระบบระบายน้ำ</t>
  </si>
  <si>
    <t>ป้องกันการกัดเซาะคันทาง</t>
  </si>
  <si>
    <t>ค่าขนส่งปูนสำเร็จรูป</t>
  </si>
  <si>
    <t>ขยายไหล่ทาง กว้าง(ม.)</t>
  </si>
  <si>
    <t>เสริมหินคลุกหนา(ม.)</t>
  </si>
  <si>
    <t xml:space="preserve">   เสริมลูกรัง    หนา(ม.)</t>
  </si>
  <si>
    <t>จำนวนด้านที่ขยาย</t>
  </si>
  <si>
    <t>หน้าตัดดินถมเฉลี่ย(ม.)</t>
  </si>
  <si>
    <t>Right/Left</t>
  </si>
  <si>
    <t>ความชันของ SLOPE</t>
  </si>
  <si>
    <t>ความลาด</t>
  </si>
  <si>
    <t>ความยาว SLOP(ม.)</t>
  </si>
  <si>
    <t>SUM(Kg)</t>
  </si>
  <si>
    <r>
      <t>(m.</t>
    </r>
    <r>
      <rPr>
        <b/>
        <vertAlign val="superscript"/>
        <sz val="14"/>
        <rFont val="TH SarabunPSK"/>
        <family val="2"/>
      </rPr>
      <t>2</t>
    </r>
    <r>
      <rPr>
        <b/>
        <sz val="14"/>
        <rFont val="TH SarabunPSK"/>
        <family val="2"/>
      </rPr>
      <t>)</t>
    </r>
  </si>
  <si>
    <t>ค่าแรงตัด-ดัด-ผูก เหล็กเส้นเสริม</t>
  </si>
  <si>
    <t xml:space="preserve">ขนาดท่อ  Ø </t>
  </si>
  <si>
    <t>จำนวนแถว</t>
  </si>
  <si>
    <t>บ่อรับน้ำปากท่อ  ขนาด Dia. 1 - 0.80 ม.</t>
  </si>
  <si>
    <t>บ่อรับน้ำปากท่อ ขนาด Dia. 1 - 1.00 ม.</t>
  </si>
  <si>
    <t>บ่อรับน้ำปากท่อ ขนาด Diai. 1 - 1.20 ม.</t>
  </si>
  <si>
    <t>บ่อรับน้ำปากท่อ ขนาด Dia. 1 - 1.50 ม.</t>
  </si>
  <si>
    <t>บ่อรับน้ำปากท่อ ขนาด Dia. 2 - 0.80 ม.</t>
  </si>
  <si>
    <t>บ่อรับน้ำปากท่อ ขนาด Dia. 2 - 1.00 ม.</t>
  </si>
  <si>
    <t>บ่อรับน้ำปากท่อ ขนาด Di a. 2 - 1.20 ม.</t>
  </si>
  <si>
    <t>บ่อรับน้ำปากท่อ ขนาด Dia. 2 - 1.50 ม.</t>
  </si>
  <si>
    <t>บ่อรับน้ำปากท่อ ขนาด Dia. 3 - 0.80 ม.</t>
  </si>
  <si>
    <t>บ่อรับน้ำปากท่อ ขนาด Dia. 3 - 1.00 ม.</t>
  </si>
  <si>
    <t>บ่อรับน้ำปากท่อ ขนาด Dia. 3 - 1.20 ม.</t>
  </si>
  <si>
    <t>บ่อรับน้ำปากท่อ ขนาด Dia.. 3 - 1.50 ม.</t>
  </si>
  <si>
    <t xml:space="preserve"> ขนาด Dia. 1- 0.60 ม. x 1.00 ม.</t>
  </si>
  <si>
    <t xml:space="preserve"> ขนาด Dia. 1 - 0.80 ม. x 1.00 ม.</t>
  </si>
  <si>
    <t xml:space="preserve"> ขนาด Dia. 1 - 1.00 ม. x 1.00 ม.</t>
  </si>
  <si>
    <t xml:space="preserve"> ขนาด Dia. 1 - 1.20 ม. x 1.00 ม.</t>
  </si>
  <si>
    <t xml:space="preserve"> ขนาด Dia. 1 - 1.50 ม. x 1.00 ม.</t>
  </si>
  <si>
    <t xml:space="preserve"> ขนาด Dia. 2 - 0.60 ม. x 1.00 ม.</t>
  </si>
  <si>
    <t xml:space="preserve"> ขนาด Dia. 2 - 0.80 ม. x 1.00 ม.</t>
  </si>
  <si>
    <t xml:space="preserve"> ขนาด Dia. 2 - 1.00 ม. x 1.00 ม.</t>
  </si>
  <si>
    <t xml:space="preserve"> ขนาด Dia. 2 - 1.20 ม. x 1.00 ม.</t>
  </si>
  <si>
    <t xml:space="preserve"> ขนาด Dia. 2 - 1.50 ม. x 1.00 ม.</t>
  </si>
  <si>
    <t xml:space="preserve"> ขนาด Dia. 3 - 0.60 ม. x 1.00 ม.</t>
  </si>
  <si>
    <t xml:space="preserve"> ขนาด Dia. 3 - 0.80 ม. x 1.00 ม.</t>
  </si>
  <si>
    <t xml:space="preserve"> ขนาด Dia. 3 - 1.00 ม. x 1.00 ม.</t>
  </si>
  <si>
    <t xml:space="preserve"> ขนาด Dia. 3 - 1.20 ม. x 1.00 ม.</t>
  </si>
  <si>
    <t xml:space="preserve"> ขนาด Dia. 3 - 1.50 ม. x 1.00 ม.</t>
  </si>
  <si>
    <t>ค่าแรงงานรางระบายน้ำแบบขั้นบันได</t>
  </si>
  <si>
    <r>
      <t>คอนกรีต (ม.</t>
    </r>
    <r>
      <rPr>
        <b/>
        <vertAlign val="superscript"/>
        <sz val="14"/>
        <color indexed="8"/>
        <rFont val="TH SarabunPSK"/>
        <family val="2"/>
      </rPr>
      <t>3</t>
    </r>
    <r>
      <rPr>
        <b/>
        <sz val="14"/>
        <color indexed="8"/>
        <rFont val="TH SarabunPSK"/>
        <family val="2"/>
      </rPr>
      <t>)</t>
    </r>
  </si>
  <si>
    <r>
      <t>คอนกรีต ผนัง(ม.</t>
    </r>
    <r>
      <rPr>
        <b/>
        <vertAlign val="superscript"/>
        <sz val="14"/>
        <color indexed="8"/>
        <rFont val="TH SarabunPSK"/>
        <family val="2"/>
      </rPr>
      <t>3</t>
    </r>
    <r>
      <rPr>
        <b/>
        <sz val="14"/>
        <color indexed="8"/>
        <rFont val="TH SarabunPSK"/>
        <family val="2"/>
      </rPr>
      <t>)</t>
    </r>
  </si>
  <si>
    <r>
      <t>คอนกรีต(ม.</t>
    </r>
    <r>
      <rPr>
        <b/>
        <vertAlign val="superscript"/>
        <sz val="14"/>
        <color indexed="8"/>
        <rFont val="TH SarabunPSK"/>
        <family val="2"/>
      </rPr>
      <t>3</t>
    </r>
    <r>
      <rPr>
        <b/>
        <sz val="14"/>
        <color indexed="8"/>
        <rFont val="TH SarabunPSK"/>
        <family val="2"/>
      </rPr>
      <t>)</t>
    </r>
  </si>
  <si>
    <t>บาท/กล่อง</t>
  </si>
  <si>
    <t>แยกทางหลวงหมายเลข 42 - ถนนสาย ข.ผังเมืองรวมเมืองสุไหงโก-ลก</t>
  </si>
  <si>
    <t>แยกทางหลวงหมายเลข 4136 - ถนนสาย ก.ผังเมืองรวมเมืองนราธิวาส</t>
  </si>
  <si>
    <t>งานหินใหญ่</t>
  </si>
  <si>
    <t>ค่าแรงประกอบกล่อง</t>
  </si>
  <si>
    <t>คิดจากฐานค่าแรงขั้นต่ำ</t>
  </si>
  <si>
    <t>บาท/วัน</t>
  </si>
  <si>
    <t xml:space="preserve"> บาท/กล่อง</t>
  </si>
  <si>
    <t>ค่าแรงงานหิน</t>
  </si>
  <si>
    <t>ค่าวัสดุ + ค่าแรง</t>
  </si>
  <si>
    <t>รวมราคาค่าก่อสร้างทั้งหมด</t>
  </si>
  <si>
    <t>โครงการก่อสร้างป้องกันการกัดเซาะคันทางแบบกล่องใส่หิน (GABION BOX)</t>
  </si>
  <si>
    <t>ช่วงกม.ที่</t>
  </si>
  <si>
    <t>PARA  Asphaltic  Concrete</t>
  </si>
  <si>
    <t xml:space="preserve"> (ยางAC + ค่าขนส่ง) x 0.052</t>
  </si>
  <si>
    <t xml:space="preserve"> -  PARA Asphaltic  Concrete  (ปูบน Prime  Coat)</t>
  </si>
  <si>
    <t xml:space="preserve"> -  PARA Asphaltic  Concrete  (ปูบน Tack  Coat)</t>
  </si>
  <si>
    <t>งานหินทิ้ง</t>
  </si>
  <si>
    <t xml:space="preserve">   11.1 สูตรค่างาน Pavement In-Place Recycling </t>
  </si>
  <si>
    <t xml:space="preserve">  11.2 ข้อมูลประกอบการคิดค่างาน</t>
  </si>
  <si>
    <t xml:space="preserve"> 12.1 กรณีปริมาณงานน้อยกว่าหรือเท่ากับ 10,000 ตัน</t>
  </si>
  <si>
    <t xml:space="preserve"> 12.2 กรณีปริมาณงานมากกว่า 10,000 ตัน</t>
  </si>
  <si>
    <t>ค่าขนส่งหินใหญ่</t>
  </si>
  <si>
    <t>หินทิ้ง</t>
  </si>
  <si>
    <t>คอนกรีตผสมเสร็จ 320 ksc</t>
  </si>
  <si>
    <t>ต้น</t>
  </si>
  <si>
    <t>ค่าแรงผสมและเทคอนกรีต</t>
  </si>
  <si>
    <t>ข้อมูลประกอบการประมาณราคา งานบำรุงรักษาโครงข่ายทาง(ต้นทุนงานถนน Concrete)</t>
  </si>
  <si>
    <t>BEARING UNIT</t>
  </si>
  <si>
    <t>วาง Gabion Box ชนิดเคลือบ</t>
  </si>
  <si>
    <t>วาง Gabion Box ชนิดเคลือบ 2 ชั้น  2 x 1 x 1</t>
  </si>
  <si>
    <t>2+800</t>
  </si>
  <si>
    <r>
      <t xml:space="preserve">ป้ายจราจร </t>
    </r>
    <r>
      <rPr>
        <b/>
        <sz val="14"/>
        <rFont val="TH SarabunPSK"/>
        <family val="2"/>
      </rPr>
      <t>ต 61,ต 61/1</t>
    </r>
  </si>
  <si>
    <r>
      <t>ป้ายจราจรแบบ</t>
    </r>
    <r>
      <rPr>
        <b/>
        <sz val="14"/>
        <rFont val="TH SarabunPSK"/>
        <family val="2"/>
      </rPr>
      <t xml:space="preserve"> ต 74</t>
    </r>
  </si>
  <si>
    <r>
      <t>ป้ายจราจรแบบ</t>
    </r>
    <r>
      <rPr>
        <b/>
        <sz val="14"/>
        <rFont val="TH SarabunPSK"/>
        <family val="2"/>
      </rPr>
      <t xml:space="preserve"> ต 74/1</t>
    </r>
  </si>
  <si>
    <r>
      <t>ป้ายจราจรแบบ</t>
    </r>
    <r>
      <rPr>
        <b/>
        <sz val="14"/>
        <rFont val="TH SarabunPSK"/>
        <family val="2"/>
      </rPr>
      <t xml:space="preserve"> ต 76/1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</si>
  <si>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ต1 - ต 27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</si>
  <si>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ต31 - ต 60</t>
    </r>
  </si>
  <si>
    <r>
      <t xml:space="preserve">ป้ายจราจรแบบ </t>
    </r>
    <r>
      <rPr>
        <b/>
        <sz val="14"/>
        <rFont val="TH SarabunPSK"/>
        <family val="2"/>
      </rPr>
      <t>ต 31</t>
    </r>
    <r>
      <rPr>
        <b/>
        <sz val="13"/>
        <rFont val="TH SarabunPSK"/>
        <family val="2"/>
      </rPr>
      <t>- ต 60 + ต31 - ต 60</t>
    </r>
  </si>
  <si>
    <r>
      <t xml:space="preserve">ป้ายจราจรแบบ </t>
    </r>
    <r>
      <rPr>
        <b/>
        <sz val="14"/>
        <rFont val="TH SarabunPSK"/>
        <family val="2"/>
      </rPr>
      <t>ต 1</t>
    </r>
    <r>
      <rPr>
        <b/>
        <sz val="13"/>
        <rFont val="TH SarabunPSK"/>
        <family val="2"/>
      </rPr>
      <t>- ต 27 + ต 78</t>
    </r>
    <r>
      <rPr>
        <sz val="11"/>
        <color indexed="8"/>
        <rFont val="Tahoma"/>
        <family val="2"/>
        <charset val="222"/>
      </rPr>
      <t/>
    </r>
  </si>
  <si>
    <r>
      <t xml:space="preserve">ป้ายจราจรแบบ </t>
    </r>
    <r>
      <rPr>
        <b/>
        <sz val="14"/>
        <rFont val="TH SarabunPSK"/>
        <family val="2"/>
      </rPr>
      <t>น 1(2ชิ้น) + นส 14(2ชิ้น)</t>
    </r>
  </si>
  <si>
    <r>
      <t xml:space="preserve">ป้ายจราจรแบบ </t>
    </r>
    <r>
      <rPr>
        <b/>
        <sz val="14"/>
        <rFont val="TH SarabunPSK"/>
        <family val="2"/>
      </rPr>
      <t>น 1+น1/1+ นส 14(2ชิ้น)</t>
    </r>
  </si>
  <si>
    <r>
      <t xml:space="preserve">ป้ายจราจรแบบ </t>
    </r>
    <r>
      <rPr>
        <b/>
        <sz val="12"/>
        <rFont val="TH SarabunPSK"/>
        <family val="2"/>
      </rPr>
      <t>น 1+น 1/1(2ชิ้น)+นส 1 - นส 14(3ชิ้น)</t>
    </r>
  </si>
  <si>
    <r>
      <t>ป้ายจราจรแบบ</t>
    </r>
    <r>
      <rPr>
        <b/>
        <sz val="14"/>
        <rFont val="TH SarabunPSK"/>
        <family val="2"/>
      </rPr>
      <t xml:space="preserve"> ต 77/1</t>
    </r>
  </si>
  <si>
    <r>
      <t>ป้ายจราจรแบบ</t>
    </r>
    <r>
      <rPr>
        <b/>
        <sz val="14"/>
        <rFont val="TH SarabunPSK"/>
        <family val="2"/>
      </rPr>
      <t xml:space="preserve"> บ 1/1</t>
    </r>
  </si>
  <si>
    <r>
      <t>ป้ายจราจรแบบ</t>
    </r>
    <r>
      <rPr>
        <b/>
        <sz val="14"/>
        <rFont val="TH SarabunPSK"/>
        <family val="2"/>
      </rPr>
      <t xml:space="preserve"> บ 2/1</t>
    </r>
  </si>
  <si>
    <r>
      <t xml:space="preserve">ป้ายจราจรแบบ </t>
    </r>
    <r>
      <rPr>
        <b/>
        <sz val="14"/>
        <rFont val="TH SarabunPSK"/>
        <family val="2"/>
      </rPr>
      <t>ต 63,ต 66</t>
    </r>
    <r>
      <rPr>
        <sz val="14"/>
        <rFont val="TH SarabunPSK"/>
        <family val="2"/>
      </rPr>
      <t xml:space="preserve"> (1 แผ่นป้ายต่อชุด)</t>
    </r>
  </si>
  <si>
    <r>
      <t xml:space="preserve">ป้ายจราจร </t>
    </r>
    <r>
      <rPr>
        <b/>
        <sz val="14"/>
        <rFont val="TH SarabunPSK"/>
        <family val="2"/>
      </rPr>
      <t>บ 31/1, บ 33/1</t>
    </r>
  </si>
  <si>
    <r>
      <t xml:space="preserve">ป้ายจราจร </t>
    </r>
    <r>
      <rPr>
        <b/>
        <sz val="14"/>
        <rFont val="TH SarabunPSK"/>
        <family val="2"/>
      </rPr>
      <t>บ 34/1, บ 35/1, บ 36/1</t>
    </r>
  </si>
  <si>
    <t>5.2.61</t>
  </si>
  <si>
    <t>5.2.62</t>
  </si>
  <si>
    <t>5.2.63</t>
  </si>
  <si>
    <t>5.2.64</t>
  </si>
  <si>
    <t>5.2.65</t>
  </si>
  <si>
    <t>5.2.66</t>
  </si>
  <si>
    <t>5.2.67</t>
  </si>
  <si>
    <t>5.2.68</t>
  </si>
  <si>
    <t>5.2.69</t>
  </si>
  <si>
    <t>5.2.70</t>
  </si>
  <si>
    <t>5.2.71</t>
  </si>
  <si>
    <t>5.2.72</t>
  </si>
  <si>
    <t>เสาเหล็ก</t>
  </si>
  <si>
    <t>เสา คสล.</t>
  </si>
  <si>
    <t>สัญญาณไฟกระพริบ + ป้าย ต Size 2</t>
  </si>
  <si>
    <t>สัญญาณไฟกระพริบ + ป้าย ต Size 3</t>
  </si>
  <si>
    <t>สัญญาณไฟกระพริบ + ป้าย ต Size 4</t>
  </si>
  <si>
    <t>ป้าย(ลำดับ 18 - 58) SIZE 2</t>
  </si>
  <si>
    <t>ป้าย(ลำดับ 18 - 58) SIZE 3</t>
  </si>
  <si>
    <t>ป้าย(ลำดับ 18 - 58) SIZE 4</t>
  </si>
  <si>
    <t>บูรณะทางหลวงชนบทสายหลัก</t>
  </si>
  <si>
    <t>สีเทอร์โมพลาสติก สีแดง</t>
  </si>
  <si>
    <t>ป้าย กม. ขนาด   80 X 40  จร.121/56(หน้าเดียว)</t>
  </si>
  <si>
    <t>ป้าย กม. ขนาด 100 X 50  จร.121/56(หน้าเดียว)</t>
  </si>
  <si>
    <t>ป้าย กม. ขนาด   80 X 40  จร.121/56(สองหน้า)</t>
  </si>
  <si>
    <t>ป้าย กม. ขนาด 100 X 50  จร.121/56(สองหน้า)</t>
  </si>
  <si>
    <t xml:space="preserve"> สำนักงานทางหลวงชนบทที่ 12(สงขลา) กรมทางหลวงชนบท</t>
  </si>
  <si>
    <t>ตำแหน่ง Guard  Rail</t>
  </si>
  <si>
    <t>ขนาดคีย์รับปลายท่อ</t>
  </si>
  <si>
    <t>ตารางคิดปริมาณงานดาดคอนกรีตป้องกันกัดเซาะปลายท่อระบายน้ำขนิดกลม แบบไม่มีตะแกรงเหล็กปิดปากท่อ ตามแบบมาตรฐานที่ ทช.ท.3001,ทช.ท.3003/มค.2553</t>
  </si>
  <si>
    <t>ตารางคิดปริมาณงานวางท่อ คสล.</t>
  </si>
  <si>
    <r>
      <t>ท่อ คสล.</t>
    </r>
    <r>
      <rPr>
        <b/>
        <sz val="14"/>
        <color theme="1"/>
        <rFont val="Symbol"/>
        <family val="1"/>
        <charset val="2"/>
      </rPr>
      <t>Æ</t>
    </r>
    <r>
      <rPr>
        <b/>
        <sz val="14"/>
        <color theme="1"/>
        <rFont val="TH SarabunPSK"/>
        <family val="2"/>
      </rPr>
      <t xml:space="preserve"> 0.60 ม.</t>
    </r>
  </si>
  <si>
    <r>
      <t>ท่อ คสล.</t>
    </r>
    <r>
      <rPr>
        <b/>
        <sz val="14"/>
        <color theme="1"/>
        <rFont val="Symbol"/>
        <family val="1"/>
        <charset val="2"/>
      </rPr>
      <t>Æ</t>
    </r>
    <r>
      <rPr>
        <b/>
        <sz val="14"/>
        <color theme="1"/>
        <rFont val="TH SarabunPSK"/>
        <family val="2"/>
      </rPr>
      <t xml:space="preserve"> 0.80 ม.</t>
    </r>
  </si>
  <si>
    <r>
      <t>ท่อ คสล.</t>
    </r>
    <r>
      <rPr>
        <b/>
        <sz val="14"/>
        <color theme="1"/>
        <rFont val="Symbol"/>
        <family val="1"/>
        <charset val="2"/>
      </rPr>
      <t>Æ</t>
    </r>
    <r>
      <rPr>
        <b/>
        <sz val="14"/>
        <color theme="1"/>
        <rFont val="TH SarabunPSK"/>
        <family val="2"/>
      </rPr>
      <t xml:space="preserve"> 1.00 ม.</t>
    </r>
  </si>
  <si>
    <r>
      <t>ท่อ คสล.</t>
    </r>
    <r>
      <rPr>
        <b/>
        <sz val="14"/>
        <color theme="1"/>
        <rFont val="Symbol"/>
        <family val="1"/>
        <charset val="2"/>
      </rPr>
      <t>Æ</t>
    </r>
    <r>
      <rPr>
        <b/>
        <sz val="14"/>
        <color theme="1"/>
        <rFont val="TH SarabunPSK"/>
        <family val="2"/>
      </rPr>
      <t xml:space="preserve"> 1.20 ม.</t>
    </r>
  </si>
  <si>
    <r>
      <t>ท่อ คสล.</t>
    </r>
    <r>
      <rPr>
        <b/>
        <sz val="14"/>
        <color theme="1"/>
        <rFont val="Symbol"/>
        <family val="1"/>
        <charset val="2"/>
      </rPr>
      <t>Æ</t>
    </r>
    <r>
      <rPr>
        <b/>
        <sz val="14"/>
        <color theme="1"/>
        <rFont val="TH SarabunPSK"/>
        <family val="2"/>
      </rPr>
      <t xml:space="preserve"> 1.50 ม.</t>
    </r>
  </si>
  <si>
    <r>
      <t xml:space="preserve">เหล็กเสริม </t>
    </r>
    <r>
      <rPr>
        <b/>
        <sz val="14"/>
        <rFont val="Symbol"/>
        <family val="1"/>
        <charset val="2"/>
      </rPr>
      <t>Æ</t>
    </r>
    <r>
      <rPr>
        <b/>
        <sz val="14"/>
        <rFont val="TH SarabunPSK"/>
        <family val="2"/>
      </rPr>
      <t xml:space="preserve">  9 mm.</t>
    </r>
  </si>
  <si>
    <r>
      <t xml:space="preserve">เหล็กเสริม </t>
    </r>
    <r>
      <rPr>
        <b/>
        <sz val="14"/>
        <rFont val="Symbol"/>
        <family val="1"/>
        <charset val="2"/>
      </rPr>
      <t>Æ</t>
    </r>
    <r>
      <rPr>
        <b/>
        <sz val="14"/>
        <rFont val="TH SarabunPSK"/>
        <family val="2"/>
      </rPr>
      <t xml:space="preserve">  12 mm.</t>
    </r>
  </si>
  <si>
    <t xml:space="preserve"> (ยาง PARA AC) + ค่าขนส่ง) x 0.052</t>
  </si>
  <si>
    <t>ขนาดเส้นจราจร</t>
  </si>
  <si>
    <t>พื้นทางถนนเดิม(งานถนนคอนกรีต)</t>
  </si>
  <si>
    <t>กำแพงปากท่อ ขนาด  1 -   Dia.  1.00  ม. HW + EW</t>
  </si>
  <si>
    <t>กำแพงปากท่อ ขนาด  1  -  Dia.  0.60  ม. HW + EW</t>
  </si>
  <si>
    <t>กำแพงปากท่อ ขนาด  1  -  Dia.  0.80  ม. HW + EW</t>
  </si>
  <si>
    <t>กำแพงปากท่อ ขนาด  1  -  Dia.  1.20  ม. HW + EW</t>
  </si>
  <si>
    <t>กำแพงปากท่อ ขนาด  1  -  Dia.  1.50  ม. HW + EW</t>
  </si>
  <si>
    <t>กำแพงปากท่อ ขนาด  2  -  Dia.  0.60  ม. HW + EW</t>
  </si>
  <si>
    <t>กำแพงปากท่อ ขนาด  2  -  Dia.  0.80  ม.HW + EW</t>
  </si>
  <si>
    <t>กำแพงปากท่อ ขนาด  2  -  Dia.  1.00  ม.HW + EW</t>
  </si>
  <si>
    <t>กำแพงปากท่อ ขนาด  2  -  Dia.  1.20  ม.HW + EW</t>
  </si>
  <si>
    <t>กำแพงปากท่อ ขนาด  2  -  Dia.  1.50  ม. HW + EW</t>
  </si>
  <si>
    <t>กำแพงปากท่อ ขนาด  3  -  Dia.  0.60  ม.HW + EW</t>
  </si>
  <si>
    <t>กำแพงปากท่อ ขนาด  3  -  Dia.  0.80  ม.HW + EW</t>
  </si>
  <si>
    <t>กำแพงปากท่อ ขนาด  3  -  Dia.  1.00  ม.HW + EW</t>
  </si>
  <si>
    <t>กำแพงปากท่อ ขนาด  3  -  Dia.  1.20  ม.HW + EW</t>
  </si>
  <si>
    <t>กำแพงปากท่อ ขนาด  3  -  Dia.  1.50  ม. HW + EW</t>
  </si>
  <si>
    <t>กรอกข้อความ หรือ ตัวเลข  เฉพาะในช่องพื้น สีเหลือง</t>
  </si>
  <si>
    <t>งานถนนคอนกรีต</t>
  </si>
  <si>
    <t xml:space="preserve"> PMA (Polymer Modified Asphalt)</t>
  </si>
  <si>
    <t>PMA  Asphaltic  Concrete</t>
  </si>
  <si>
    <t xml:space="preserve"> -  PMA Asphaltic  Concrete  (ปูบน Prime  Coat)</t>
  </si>
  <si>
    <t xml:space="preserve"> -  PMA Asphaltic  Concrete  (ปูบน Tack  Coat)</t>
  </si>
  <si>
    <t xml:space="preserve"> (ยาง PMA  AC) + ค่าขนส่ง) x 0.052</t>
  </si>
  <si>
    <t>ข้อความบนผิวทาง</t>
  </si>
  <si>
    <t>ล</t>
  </si>
  <si>
    <t>ด</t>
  </si>
  <si>
    <t>ค</t>
  </si>
  <si>
    <t>ว</t>
  </si>
  <si>
    <t>สระอา</t>
  </si>
  <si>
    <t>ม</t>
  </si>
  <si>
    <t>สระเอ</t>
  </si>
  <si>
    <t>ร</t>
  </si>
  <si>
    <t>ไม้ไต่คู้</t>
  </si>
  <si>
    <t>สระโอ</t>
  </si>
  <si>
    <t>ง</t>
  </si>
  <si>
    <t>ย</t>
  </si>
  <si>
    <t>น</t>
  </si>
  <si>
    <t>สระอี</t>
  </si>
  <si>
    <t>ห</t>
  </si>
  <si>
    <t>สระอุ</t>
  </si>
  <si>
    <t>ลด ความ เร็ว</t>
  </si>
  <si>
    <t>หยุด</t>
  </si>
  <si>
    <t>โรง เรียน</t>
  </si>
  <si>
    <t>ผิวทางลาดยางทางราบ</t>
  </si>
  <si>
    <t>ผิวทางลาดยางทางเนิน</t>
  </si>
  <si>
    <t>ผิวทางลาดยางทางเขา</t>
  </si>
  <si>
    <t>factor  ค่าขนส่ง</t>
  </si>
  <si>
    <t>Average  Factor</t>
  </si>
  <si>
    <t>1.กรณีเส้นทางลาดชันขนส่งหิน</t>
  </si>
  <si>
    <t>2.กรณีเส้นทางลาดชันขนส่งดิน</t>
  </si>
  <si>
    <t>3.กรณีเส้นทางลาดชันขนส่งลูกรัง</t>
  </si>
  <si>
    <t>4.กรณีเส้นทางลาดชันขนทราย</t>
  </si>
  <si>
    <t>5.กรณีเส้นทางลาดชันขนส่งยางแอสฟัลท์</t>
  </si>
  <si>
    <t>6.กรณีเส้นทางลาดชันขนส่งปูนซีเมนต์</t>
  </si>
  <si>
    <t>7.กรณีเส้นทางลาดชันขนส่งเหล็ก</t>
  </si>
  <si>
    <t>ปูนซีเมนต์  =</t>
  </si>
  <si>
    <t>8.กรณีเส้นทางลาดชันขนส่งท่อ</t>
  </si>
  <si>
    <t>5.งานวางท่อลอดกลม คสล.</t>
  </si>
  <si>
    <t>Fator ระยะขนส่ง</t>
  </si>
  <si>
    <t>รายการประมาณราคาต่อหน่วยของกล่องใส่หิน  (Gabion Box)</t>
  </si>
  <si>
    <t>งานที่ปรับราคาได้ประเภทงานดิน</t>
  </si>
  <si>
    <r>
      <t xml:space="preserve"> - งาน Pavement In - Place Recycling</t>
    </r>
    <r>
      <rPr>
        <sz val="16"/>
        <color indexed="8"/>
        <rFont val="TH SarabunIT๙"/>
        <family val="2"/>
      </rPr>
      <t xml:space="preserve"> แล้วเสร็จไม่น้อยกว่า</t>
    </r>
  </si>
  <si>
    <t xml:space="preserve"> - งานPavement In - Place Recycling ที่เหลือทั้งหมด แล้วเสร็จ เรียบร้อย  ถูกต้อง  ครบถ้วน ตามแบบรูปและรายละเอียดของสัญญาข้อ 2 และคำชี้แจงประกอบแบบแปลนทุกประการ</t>
  </si>
  <si>
    <r>
      <t>2.งานที่ปรับราคาได้ประเภทงาน Prime Coat</t>
    </r>
    <r>
      <rPr>
        <b/>
        <sz val="16"/>
        <color indexed="8"/>
        <rFont val="TH SarabunIT๙"/>
        <family val="2"/>
      </rPr>
      <t/>
    </r>
  </si>
  <si>
    <t>1.งานที่ปรับราคาได้ประเภทงานดิน</t>
  </si>
  <si>
    <t>Rumble Strip</t>
  </si>
  <si>
    <t>ติดตั้งใหม่</t>
  </si>
  <si>
    <t>ผู้อำนวยการสำนัก รักษาราชการแทน</t>
  </si>
  <si>
    <t>ผู้อำนวยการสำนักงานทางหลวงชนบทที่ 12 ปฏิบัติราชการแทน</t>
  </si>
  <si>
    <t>อธิบดีกรมทางหลวงชนบท</t>
  </si>
  <si>
    <t>งานดินถม ( จากงานดินตัด )</t>
  </si>
  <si>
    <t>รางส่งน้ำจากคันหิน</t>
  </si>
  <si>
    <t>งานรื้อย้าย/ติดตั้ง Guard  Rail เก่าแล้วติดตั้งใหม่</t>
  </si>
  <si>
    <t>(นายโชค  นวลได้ศรี)</t>
  </si>
  <si>
    <t xml:space="preserve">         (ลงชื่อ).....................................................</t>
  </si>
  <si>
    <t>5.2.73</t>
  </si>
  <si>
    <t>ตัดหญ้าสองข้างทาง</t>
  </si>
  <si>
    <t>บูรณะผิวทางลาดยาง</t>
  </si>
  <si>
    <t>หักปากท่อ(ม.)</t>
  </si>
  <si>
    <t>ยาวรวม</t>
  </si>
  <si>
    <t>พื้นที่คอนกรีตคิย์ปากท่อ</t>
  </si>
  <si>
    <t>ตารางคิดปริมาณเหล็กเสริมงานป้องกันกัดเซาะปลายท่อระบายน้ำขนิดกลม แบบไม่มีตะแกรงเหล็กปิดปากท่อ ตามแบบมาตรฐานที่ ทช.ท.5-103/45</t>
  </si>
  <si>
    <t>ค่างานต้นทุนท่อลอดเหลี่ยม</t>
  </si>
  <si>
    <t>ตาราง  Factor  F   งานก่อสร้างสะพาน</t>
  </si>
  <si>
    <r>
      <t>ป้อนข้อมูลใน</t>
    </r>
    <r>
      <rPr>
        <b/>
        <sz val="14"/>
        <color indexed="13"/>
        <rFont val="Cordia New"/>
        <family val="2"/>
      </rPr>
      <t xml:space="preserve">แถบสีเหลือง </t>
    </r>
    <r>
      <rPr>
        <b/>
        <sz val="14"/>
        <rFont val="Cordia New"/>
        <family val="2"/>
      </rPr>
      <t>เท่านั้น</t>
    </r>
  </si>
  <si>
    <t>เงินประกันผลงานหัก</t>
  </si>
  <si>
    <t>ต่อปี</t>
  </si>
  <si>
    <t>ค่าภาษีมูลค่าเพิ่ม(VAT)</t>
  </si>
  <si>
    <t>ค่างาน</t>
  </si>
  <si>
    <t>Factor  F กรณีฝนปกติ</t>
  </si>
  <si>
    <t>(ทุน)</t>
  </si>
  <si>
    <t>Factor  F</t>
  </si>
  <si>
    <t>แบบประเมินราคางานทั่วไป</t>
  </si>
  <si>
    <t xml:space="preserve">กว้าง </t>
  </si>
  <si>
    <t xml:space="preserve">ลำดับที่ </t>
  </si>
  <si>
    <t>ปริมาณ</t>
  </si>
  <si>
    <t>ค่างานต้นทุน (บาท)</t>
  </si>
  <si>
    <t>ราคากลาง (บาท)</t>
  </si>
  <si>
    <t>ประเภทงานทั่วไป</t>
  </si>
  <si>
    <t>งานอำนวยการสำหรับผู้ควบคุมงาน</t>
  </si>
  <si>
    <t>งานอาคารสำนักงานสนาม</t>
  </si>
  <si>
    <t>1.1 ค่าใช้จ่ายรายเดือน</t>
  </si>
  <si>
    <t>1.2 เหมาจ่ายตรง</t>
  </si>
  <si>
    <t xml:space="preserve"> L.S.</t>
  </si>
  <si>
    <t>การจัดหารถยนต์ พร้อมน้ำมันเชื้อเพลิง การบำรุงรักษาและประกันภัย</t>
  </si>
  <si>
    <t>เครื่องมือและอุปรณ์ในการสำรวจ</t>
  </si>
  <si>
    <t>เครื่องมือและอุปรณ์ในการทดสอบ</t>
  </si>
  <si>
    <t>งานตามคำสั่งของผู้ว่าจ้าง</t>
  </si>
  <si>
    <t>งานขยายเขตไฟฟ้าและติดตั้งหม้อแปลงสำหรับระบบไฟฟ้าแสงสว่าง</t>
  </si>
  <si>
    <t>เงินจร</t>
  </si>
  <si>
    <t>งานรื้อย้ายสาธารณูปโภคที่ดำเนินการโดยหน่วยงานเจ้าของสาธารณูปโภค</t>
  </si>
  <si>
    <t>งานรื้อย้ายเสาไฟฟ้าจำนวน        ต้น</t>
  </si>
  <si>
    <t>งานเจาะสำรวจชั้นดินและงานทดสอบพิเศษ (นอกเหนือจากที่ระบุในสัญญา)</t>
  </si>
  <si>
    <t>งานทดสอบกำลังรับน้ำหนักบรรทุกของเสาเข็ม (จำนวน..............ต้น)</t>
  </si>
  <si>
    <t>งานการมีส่วนร่วมภาคประชาชน</t>
  </si>
  <si>
    <t>งานลดผลกระทบสิ่งแวดล้อมในระหว่างการก่อสร้าง (นอกเหนือจากที่ระบุ</t>
  </si>
  <si>
    <t>ในสัญญา )</t>
  </si>
  <si>
    <t xml:space="preserve">งานอำนวยความปลอดภัยและจัดการจราจรในระหว่างการก่อสร้าง </t>
  </si>
  <si>
    <t>(นอกเหนือจากที่ระบุในสัญญา)</t>
  </si>
  <si>
    <t>รวมค่างานต้นทุนงานทั่วไป</t>
  </si>
  <si>
    <t>ภาษีมูลค่าเพิ่ม     7%                            =</t>
  </si>
  <si>
    <t>เป็นเงินค่างานประเมิน</t>
  </si>
  <si>
    <t xml:space="preserve"> - จำนวนเงินหรือรายการที่รวมอยู่ในสัญญา ตามที่ระบุไว้ในตารางแสดงปริมาณงานและค่างาน เพื่อใช้ดำเนินการหรือจัดหาผลิตภัณฑ์ วัสดุหรือบริการ</t>
  </si>
  <si>
    <t xml:space="preserve"> - จำนวนเงินในงานประเภททั่วไปอาจใช้ทั้งหมด หรือใช้บางส่วน หรืออาจไม่ใช้เลย ทั้งนี้ตามแต่คำสั่งและดุลพินิจของผู้ว่าจ้าง</t>
  </si>
  <si>
    <t xml:space="preserve"> - การเบิกจ่ายค่างาน จะต้องได้รับความเห็นชอบจากผู้ว่าจ้างก่อน</t>
  </si>
  <si>
    <t>ถึง  กม.</t>
  </si>
  <si>
    <t>ชื่อโครงการ</t>
  </si>
  <si>
    <t>จาก กม.</t>
  </si>
  <si>
    <t>กว้างข้างละ</t>
  </si>
  <si>
    <t xml:space="preserve">  - ส่วนขยาย  1.25 %</t>
  </si>
  <si>
    <t xml:space="preserve">  - ค่าดำเนินการ + ค่าเสื่อมราคา(ตัก)</t>
  </si>
  <si>
    <t xml:space="preserve"> - ค่าขนทิ้ง</t>
  </si>
  <si>
    <t xml:space="preserve">  - ค่าดำเนินการ + ค่าเสื่อมราคา(ขุดตัก)</t>
  </si>
  <si>
    <t>ค่างานต้นทุนเป็นเงิน</t>
  </si>
  <si>
    <t>อ.มะนัง จ.สตูล</t>
  </si>
  <si>
    <t xml:space="preserve">   1 - 1.00 x 16.00</t>
  </si>
  <si>
    <t>ทรายถมอัดแน่น</t>
  </si>
  <si>
    <t>คอนกรีต คสล. ค. 3</t>
  </si>
  <si>
    <t>คอนกรีตเสริมเหล็ก</t>
  </si>
  <si>
    <t>ปริมาณดำเนินการ</t>
  </si>
  <si>
    <t>บูรณะผิวทางคอนกรีต</t>
  </si>
  <si>
    <t>ป้ายจราจรแบบ ต 63,ต 66 (1 แผ่นป้ายต่อชุด)</t>
  </si>
  <si>
    <t>ป้ายจราจรแบบ ต 63,ต 66 (2 แผ่นป้ายต่อชุด)</t>
  </si>
  <si>
    <t>ใช้เหล็ก Wire Meshr</t>
  </si>
  <si>
    <t>ม.ม.)</t>
  </si>
  <si>
    <t>น้ำหนักลวด</t>
  </si>
  <si>
    <t>(ก.ก./ ม.)</t>
  </si>
  <si>
    <t>น้ำหนักตะแกรงเหล็ก (กก./ตรม.) แบ่งตามระยะ (ซ.ม.)</t>
  </si>
  <si>
    <t>10x10</t>
  </si>
  <si>
    <t>10X30</t>
  </si>
  <si>
    <t>15x15</t>
  </si>
  <si>
    <t>15x30</t>
  </si>
  <si>
    <t>20x20</t>
  </si>
  <si>
    <t>25x25</t>
  </si>
  <si>
    <t>30x30</t>
  </si>
  <si>
    <t>ขนาดลวด</t>
  </si>
  <si>
    <t>ตัด - ดัด - ผูก เหล็กเส้นเสริมคอนกรีต</t>
  </si>
  <si>
    <t>25-30</t>
  </si>
  <si>
    <t>30-35</t>
  </si>
  <si>
    <t>13-15</t>
  </si>
  <si>
    <t>ผิวเรียบ</t>
  </si>
  <si>
    <t>เส้นผ่านศูนย์กลาง น้อยกว่า 10 มม.</t>
  </si>
  <si>
    <t>เส้นผ่านศูนย์กลาง ตั้งแต่ 10 มม.ถึง 16 มม.</t>
  </si>
  <si>
    <t>เส้นผ่านศูนย์กลาง ตั้งแต่ 19 มม.</t>
  </si>
  <si>
    <t>สำนักดัชนีการค้า สตูล(กันยายน 58)</t>
  </si>
  <si>
    <t>บัญชีค่าแรงงาน/ตุลาคม 2558</t>
  </si>
  <si>
    <r>
      <t xml:space="preserve">ไม้ค้ำยัน 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6" x 6.00 ม.</t>
    </r>
  </si>
  <si>
    <r>
      <t xml:space="preserve">ไม้ค้ำยัน </t>
    </r>
    <r>
      <rPr>
        <sz val="16"/>
        <rFont val="Symbol"/>
        <family val="1"/>
        <charset val="2"/>
      </rPr>
      <t>Æ</t>
    </r>
    <r>
      <rPr>
        <sz val="16"/>
        <rFont val="TH SarabunPSK"/>
        <family val="2"/>
      </rPr>
      <t xml:space="preserve"> 4" x 4.00 ม.</t>
    </r>
  </si>
  <si>
    <t>ส่วนบูรณะ   สำนักงานทางหลวงชนบทที่ 12 (สงขลา)</t>
  </si>
  <si>
    <t>สำนักงานทางหลวงชนบทที่ 12 (สงขลา)</t>
  </si>
  <si>
    <t>แขวงทางหลวงชนบทสงขลา</t>
  </si>
  <si>
    <t>แขวงทางหลวงชนบทสตูล</t>
  </si>
  <si>
    <t>แขวงทางหลวงชนบทปัตตานี</t>
  </si>
  <si>
    <t>แขวงทางหลวงชนบทยะลา</t>
  </si>
  <si>
    <t>แขวงทางหลวงชนบทนราธิวาส</t>
  </si>
  <si>
    <t>ข้อมูลประกอบการประมาณราคา งานบำรุงรักษาโครงข่ายทาง(ต้นทุนงานถนน)</t>
  </si>
  <si>
    <t>ค่าแรงตัด-ดัด-ผูก RB 6-9 mm.</t>
  </si>
  <si>
    <t>ค่าแรงตัด-ดัด-ผูก DB 12 mm.</t>
  </si>
  <si>
    <t>ค่าแรงตัด-ดัด-ผูก RB 25 mm.</t>
  </si>
  <si>
    <t>กล่อง Gabion Box  ชนิดเคลือบสังกะสี ขนาด 1.50 x 1.00 x 1.00 ม.</t>
  </si>
  <si>
    <t>กล่อง Gabion Box  ชนิดเคลือบสังกะสี ขนาด 2.00 x 1.00 x 1.00 ม.</t>
  </si>
  <si>
    <t>กล่อง Mattress  ชนิดเคลือบสังกะสี ขนาด 4.00 x 2.00 x 0.30 ม.</t>
  </si>
  <si>
    <t>กล่อง Mattress  ชนิดเคลือบสังกะสี ขนาด 3.00 x 2.00 x 0.30 ม.</t>
  </si>
  <si>
    <t>กล่อง Mattress  ชนิดเคลือบสังกะสี ขนาด 6.00 x 2.00 x 0.30 ม.</t>
  </si>
  <si>
    <t>งานหินทิ้ง/หินเรียง</t>
  </si>
  <si>
    <t>ค่างานต้นทุนหินทิ้งเป็นเงิน</t>
  </si>
  <si>
    <t>ค่างานต้นทุนหินเรียงเป็นเงิน</t>
  </si>
  <si>
    <t xml:space="preserve"> - ค่าดำเนินการทิ้งหิน(กรมชลประทาน)</t>
  </si>
  <si>
    <t xml:space="preserve"> - ค่าดำเนินการเรียงหิน(กรมชลประทาน)</t>
  </si>
  <si>
    <t>งานหินเรียง</t>
  </si>
  <si>
    <t>งานท่อลอดเหลี่ยม ขนาด.....................ความยาว.........เมตร</t>
  </si>
  <si>
    <t xml:space="preserve">  - ค่าวัสดุหินคลุกใหม่</t>
  </si>
  <si>
    <t xml:space="preserve">  - ค่าดำเนินการ,ค่าเสื่อมราคาผสมและบดทับรองพื้นทาง(หินคลุกเดิมแทนลูกรัง)</t>
  </si>
  <si>
    <t>ขนส่ง/ตัน</t>
  </si>
  <si>
    <t>จำนวน/เที่ยว</t>
  </si>
  <si>
    <r>
      <t xml:space="preserve">ค่าแรง ตัด - ดัด - ผูก เหล็ก  </t>
    </r>
    <r>
      <rPr>
        <sz val="12"/>
        <rFont val="Symbol"/>
        <family val="1"/>
        <charset val="2"/>
      </rPr>
      <t xml:space="preserve">Æ </t>
    </r>
    <r>
      <rPr>
        <sz val="12"/>
        <rFont val="TH SarabunPSK"/>
        <family val="2"/>
      </rPr>
      <t>12 mm.</t>
    </r>
  </si>
  <si>
    <r>
      <t xml:space="preserve">ค่าแรง ตัด - ดัด - ผูก เหล็ก  </t>
    </r>
    <r>
      <rPr>
        <sz val="12"/>
        <rFont val="Symbol"/>
        <family val="1"/>
        <charset val="2"/>
      </rPr>
      <t xml:space="preserve">Æ </t>
    </r>
    <r>
      <rPr>
        <sz val="12"/>
        <rFont val="TH SarabunPSK"/>
        <family val="2"/>
      </rPr>
      <t>6 -  9 mm.</t>
    </r>
  </si>
  <si>
    <t>ค่าแรงประกอบแบบ</t>
  </si>
  <si>
    <t>ดินขุด</t>
  </si>
  <si>
    <t xml:space="preserve"> - ค่าดินขุด</t>
  </si>
  <si>
    <t xml:space="preserve"> สำนักงานทางหลวงชนบทที่ 12(สงขลา)  กรมทางหลวงชนบท  กระทรวงคมนาคม</t>
  </si>
  <si>
    <t>CS</t>
  </si>
  <si>
    <t>0.00 - 1.00</t>
  </si>
  <si>
    <t>6.00 - 8.00</t>
  </si>
  <si>
    <t>แรงจูงใจการทำงานตามมติคณะรัฐมนตรี</t>
  </si>
  <si>
    <t>สำนักดัชนีการค้า ปัตตานี (ตุลาคม 58)</t>
  </si>
  <si>
    <t>สำนักดัชนีการค้า กรุงเทพฯ(ตุลาคม58)</t>
  </si>
  <si>
    <t>Aspaltic Concreat</t>
  </si>
  <si>
    <r>
      <t>H</t>
    </r>
    <r>
      <rPr>
        <b/>
        <vertAlign val="subscript"/>
        <sz val="16"/>
        <rFont val="TH SarabunPSK"/>
        <family val="2"/>
      </rPr>
      <t>1</t>
    </r>
  </si>
  <si>
    <t>H1</t>
  </si>
  <si>
    <t>กว้างท่อ</t>
  </si>
  <si>
    <t>Y/N</t>
  </si>
  <si>
    <r>
      <t>T</t>
    </r>
    <r>
      <rPr>
        <b/>
        <vertAlign val="subscript"/>
        <sz val="16"/>
        <rFont val="TH SarabunPSK"/>
        <family val="2"/>
      </rPr>
      <t>1</t>
    </r>
  </si>
  <si>
    <t>ความลึกบ่อพัก</t>
  </si>
  <si>
    <t>Dia.</t>
  </si>
  <si>
    <t>บ่อพักท่อสองด้าน</t>
  </si>
  <si>
    <t>บ่อพักท่อด้านเดียว</t>
  </si>
  <si>
    <t>บ่อพักท่อสามด้าน</t>
  </si>
  <si>
    <t>ระยะจากหลังท่อถึงหลังบ่อพัก</t>
  </si>
  <si>
    <t>ด้านไม่มีท่อ</t>
  </si>
  <si>
    <t>ถมหลังบ่อ</t>
  </si>
  <si>
    <t>หลังบ่อ</t>
  </si>
  <si>
    <t>ปล่องฝาบ่อ</t>
  </si>
  <si>
    <t>ฝาปิด</t>
  </si>
  <si>
    <t>RB(1 - 9)</t>
  </si>
  <si>
    <t>RB(10)</t>
  </si>
  <si>
    <t>ตัดช่วงท่อ</t>
  </si>
  <si>
    <t>รัดท่อ</t>
  </si>
  <si>
    <t>ปล่องบ่อพัก</t>
  </si>
  <si>
    <t>ฝาบ่อพัก</t>
  </si>
  <si>
    <t>DB 16</t>
  </si>
  <si>
    <t>สรุปเหล็ก</t>
  </si>
  <si>
    <t>นน./ม.</t>
  </si>
  <si>
    <t>นน.รวม</t>
  </si>
  <si>
    <t>H  =</t>
  </si>
  <si>
    <t>1.บ่อพักน้ำกรณีใช้ท่อกลมท่อสองด้านเท่ากัน</t>
  </si>
  <si>
    <t>2.บ่อพักน้ำกรณีใช้ท่อกลมสามด้านเท่ากัน</t>
  </si>
  <si>
    <t>3.บ่อพักน้ำกรณีใช้ท่อกลมสี่ด้านเท่ากัน</t>
  </si>
  <si>
    <t>บ่อพักท่อสี่ด้าน</t>
  </si>
  <si>
    <t>4.บ่อพักน้ำกรณีใช้ท่อกลมด้านเดียวเท่ากัน</t>
  </si>
  <si>
    <t>ฉาก</t>
  </si>
  <si>
    <t>RB 19</t>
  </si>
  <si>
    <t>RB 15</t>
  </si>
  <si>
    <r>
      <t xml:space="preserve">เหล็กเสริม DB 30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16 มม.</t>
    </r>
  </si>
  <si>
    <r>
      <t xml:space="preserve">เหล็กเสริม SR 30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19 มม.</t>
    </r>
  </si>
  <si>
    <r>
      <t xml:space="preserve">เหล็กเสริม SR 30 </t>
    </r>
    <r>
      <rPr>
        <sz val="12"/>
        <rFont val="Symbol"/>
        <family val="1"/>
        <charset val="2"/>
      </rPr>
      <t>Æ</t>
    </r>
    <r>
      <rPr>
        <sz val="12"/>
        <rFont val="TH SarabunPSK"/>
        <family val="2"/>
      </rPr>
      <t xml:space="preserve"> 15 มม.</t>
    </r>
  </si>
  <si>
    <t>เหล็กเสริม RB15  SR 24</t>
  </si>
  <si>
    <t>เหล็กเสริม RB19  SR 24</t>
  </si>
  <si>
    <t>เหล็กเสริม  RB 15 mm.</t>
  </si>
  <si>
    <t>เหล็กเสริม  RB 19 mm.</t>
  </si>
  <si>
    <t>เหล็กเสริม  DB 16 mm.</t>
  </si>
  <si>
    <t>เหล็กฉาก</t>
  </si>
  <si>
    <t>บาท/ตัน.</t>
  </si>
  <si>
    <t>เหล็กฉาก 75 x 75 x 6 มม.</t>
  </si>
  <si>
    <t>1.หาค่างานต้นทุนคอนกรีตหยาบ</t>
  </si>
  <si>
    <t>2. หาค่างานต้นทุนคอนกรีต ค.1</t>
  </si>
  <si>
    <t>3.หาค่างานต้นทุนคอนกรีต ค.2</t>
  </si>
  <si>
    <t>5.รางระบายน้ำคอนกรีตเสริมเหล็กแบบเปิด/ความยาว  1  เมตร</t>
  </si>
  <si>
    <t>6.CONCRETE  SLOPE  PROTECTION</t>
  </si>
  <si>
    <t>7.CONCRETE  CURVE  GUTTER</t>
  </si>
  <si>
    <t>8.รางระบายน้ำแบบขั้นบันได</t>
  </si>
  <si>
    <t>184..08</t>
  </si>
  <si>
    <t>128.6ฃ7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</si>
</sst>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7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.0000"/>
    <numFmt numFmtId="189" formatCode="0.000"/>
    <numFmt numFmtId="190" formatCode="_-* #,##0.0000_-;\-* #,##0.0000_-;_-* &quot;-&quot;????_-;_-@_-"/>
    <numFmt numFmtId="191" formatCode="#,##0.000"/>
    <numFmt numFmtId="192" formatCode="#,##0.0000"/>
    <numFmt numFmtId="193" formatCode="#,##0.00_ ;\-#,##0.00\ "/>
    <numFmt numFmtId="194" formatCode="#,##0.0000_);\(#,##0.0000\)"/>
    <numFmt numFmtId="195" formatCode="0.0%"/>
    <numFmt numFmtId="196" formatCode="#,##0.000;\-#,##0.000"/>
    <numFmt numFmtId="197" formatCode="#,##0.000_);\(#,##0.000\)"/>
    <numFmt numFmtId="198" formatCode="_-* #,##0_-;\-* #,##0_-;_-* &quot;-&quot;??_-;_-@_-"/>
    <numFmt numFmtId="199" formatCode="0\+000"/>
    <numFmt numFmtId="200" formatCode="_-* #,##0.000_-;\-* #,##0.000_-;_-* &quot;-&quot;??_-;_-@_-"/>
    <numFmt numFmtId="201" formatCode="_-* #,##0.0_-;\-* #,##0.0_-;_-* &quot;-&quot;??_-;_-@_-"/>
    <numFmt numFmtId="202" formatCode="_-* #,##0.0000_-;\-* #,##0.0000_-;_-* &quot;-&quot;??_-;_-@_-"/>
    <numFmt numFmtId="203" formatCode="#0\+000"/>
    <numFmt numFmtId="204" formatCode="_(* #,##0_);_(* \(#,##0\);_(* &quot;-&quot;??_);_(@_)"/>
    <numFmt numFmtId="205" formatCode="ว\ ดดดด\ ปปปป"/>
    <numFmt numFmtId="206" formatCode="0&quot;    :&quot;"/>
    <numFmt numFmtId="207" formatCode="General_)"/>
    <numFmt numFmtId="208" formatCode="#,##0.000000&quot; &quot;"/>
    <numFmt numFmtId="209" formatCode="dd\-mm\-yy"/>
    <numFmt numFmtId="210" formatCode="#,###&quot;   &quot;"/>
    <numFmt numFmtId="211" formatCode="&quot;฿&quot;\t#,##0_);\(&quot;฿&quot;\t#,##0\)"/>
    <numFmt numFmtId="212" formatCode="\t0.00E+00"/>
    <numFmt numFmtId="213" formatCode="#,##0.0_);\(#,##0.0\)"/>
    <numFmt numFmtId="214" formatCode="_(&quot;$&quot;* #,##0.000_);_(&quot;$&quot;* \(#,##0.000\);_(&quot;$&quot;* &quot;-&quot;??_);_(@_)"/>
    <numFmt numFmtId="215" formatCode="0.0&quot;  &quot;"/>
    <numFmt numFmtId="216" formatCode="&quot;ฃ&quot;#,##0;[Red]\-&quot;ฃ&quot;#,##0"/>
    <numFmt numFmtId="217" formatCode="dd\-mmm\-yy_)"/>
    <numFmt numFmtId="218" formatCode="_-* #,##0.00000_-;\-* #,##0.00000_-;_-* &quot;-&quot;?????_-;_-@_-"/>
    <numFmt numFmtId="219" formatCode="m/d/yy\ hh:mm"/>
    <numFmt numFmtId="220" formatCode="_(&quot;$&quot;* #,##0.0000_);_(&quot;$&quot;* \(#,##0.0000\);_(&quot;$&quot;* &quot;-&quot;??_);_(@_)"/>
    <numFmt numFmtId="221" formatCode="_-* #,##0.00_-;\-* #,##0.00_-;_-* &quot;-&quot;_-;_-@_-"/>
    <numFmt numFmtId="222" formatCode="#,###.00&quot;  บ.&quot;"/>
    <numFmt numFmtId="223" formatCode="0.000000"/>
    <numFmt numFmtId="224" formatCode="#,##0.0;\-#,##0.0"/>
    <numFmt numFmtId="225" formatCode="#,##0.00000_);\(#,##0.00000\)"/>
    <numFmt numFmtId="226" formatCode="0.0"/>
    <numFmt numFmtId="227" formatCode="0.00000"/>
    <numFmt numFmtId="228" formatCode="_-* #,##0.0_-;\-* #,##0.0_-;_-* &quot;-&quot;_-;_-@_-"/>
    <numFmt numFmtId="229" formatCode="[$-107041E]d\ mmmm\ yyyy;@"/>
    <numFmt numFmtId="230" formatCode="0."/>
    <numFmt numFmtId="231" formatCode="#,##0.00_);\(#,##0.00\)"/>
  </numFmts>
  <fonts count="216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0"/>
      <name val="Courier"/>
      <family val="3"/>
    </font>
    <font>
      <sz val="10"/>
      <color indexed="10"/>
      <name val="Tahoma"/>
      <family val="2"/>
    </font>
    <font>
      <sz val="12"/>
      <name val="Symbol"/>
      <family val="1"/>
      <charset val="2"/>
    </font>
    <font>
      <sz val="14"/>
      <name val="Cordia New"/>
      <family val="2"/>
    </font>
    <font>
      <sz val="14"/>
      <name val="SV Rojchana"/>
    </font>
    <font>
      <sz val="10"/>
      <name val="Helv"/>
      <family val="2"/>
    </font>
    <font>
      <sz val="16"/>
      <name val="DilleniaUPC"/>
      <family val="1"/>
      <charset val="222"/>
    </font>
    <font>
      <sz val="11"/>
      <name val="?? ?????"/>
      <family val="3"/>
      <charset val="255"/>
    </font>
    <font>
      <sz val="11"/>
      <name val="??"/>
      <family val="1"/>
    </font>
    <font>
      <sz val="12"/>
      <name val="Helv"/>
      <family val="2"/>
    </font>
    <font>
      <sz val="10"/>
      <name val="Arial"/>
      <family val="2"/>
    </font>
    <font>
      <b/>
      <i/>
      <sz val="24"/>
      <color indexed="49"/>
      <name val="Arial Narrow"/>
      <family val="2"/>
    </font>
    <font>
      <sz val="12"/>
      <name val="Times New Roman"/>
      <family val="1"/>
    </font>
    <font>
      <sz val="12"/>
      <name val="????"/>
      <charset val="136"/>
    </font>
    <font>
      <sz val="12"/>
      <name val="EucrosiaUPC"/>
      <family val="1"/>
    </font>
    <font>
      <sz val="14"/>
      <name val="AngsanaUPC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sz val="14"/>
      <name val="Cordia New"/>
      <family val="3"/>
    </font>
    <font>
      <b/>
      <i/>
      <sz val="18"/>
      <color indexed="28"/>
      <name val="AngsanaUPC"/>
      <family val="1"/>
    </font>
    <font>
      <b/>
      <sz val="24"/>
      <name val="AngsanaUPC"/>
      <family val="1"/>
      <charset val="222"/>
    </font>
    <font>
      <sz val="12"/>
      <color indexed="10"/>
      <name val="Tahoma"/>
      <family val="2"/>
    </font>
    <font>
      <sz val="8"/>
      <name val="Cordia New"/>
      <family val="2"/>
    </font>
    <font>
      <sz val="16"/>
      <name val="Symbol"/>
      <family val="1"/>
      <charset val="2"/>
    </font>
    <font>
      <b/>
      <sz val="16"/>
      <name val="Symbol"/>
      <family val="1"/>
      <charset val="2"/>
    </font>
    <font>
      <sz val="16"/>
      <name val="TH SarabunIT๙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11"/>
      <name val="TH SarabunPSK"/>
      <family val="2"/>
    </font>
    <font>
      <sz val="14"/>
      <color indexed="8"/>
      <name val="Cordia New"/>
      <family val="2"/>
      <charset val="222"/>
    </font>
    <font>
      <sz val="16"/>
      <color indexed="12"/>
      <name val="TH SarabunPSK"/>
      <family val="2"/>
    </font>
    <font>
      <b/>
      <sz val="18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b/>
      <sz val="14"/>
      <color indexed="10"/>
      <name val="TH SarabunPSK"/>
      <family val="2"/>
    </font>
    <font>
      <b/>
      <sz val="14"/>
      <name val="TH SarabunPSK"/>
      <family val="2"/>
    </font>
    <font>
      <sz val="14"/>
      <color indexed="10"/>
      <name val="TH SarabunPSK"/>
      <family val="2"/>
    </font>
    <font>
      <sz val="14"/>
      <color indexed="30"/>
      <name val="TH SarabunPSK"/>
      <family val="2"/>
    </font>
    <font>
      <sz val="14"/>
      <color indexed="8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u/>
      <sz val="18"/>
      <color indexed="8"/>
      <name val="TH SarabunPSK"/>
      <family val="2"/>
    </font>
    <font>
      <sz val="16"/>
      <color indexed="30"/>
      <name val="TH SarabunPSK"/>
      <family val="2"/>
    </font>
    <font>
      <sz val="16"/>
      <color indexed="17"/>
      <name val="TH SarabunPSK"/>
      <family val="2"/>
    </font>
    <font>
      <b/>
      <u/>
      <sz val="14"/>
      <name val="TH SarabunPSK"/>
      <family val="2"/>
    </font>
    <font>
      <sz val="13.5"/>
      <name val="TH SarabunPSK"/>
      <family val="2"/>
    </font>
    <font>
      <sz val="14"/>
      <color indexed="18"/>
      <name val="TH SarabunPSK"/>
      <family val="2"/>
    </font>
    <font>
      <sz val="14"/>
      <color indexed="12"/>
      <name val="TH SarabunPSK"/>
      <family val="2"/>
    </font>
    <font>
      <sz val="14"/>
      <color indexed="30"/>
      <name val="TH SarabunPSK"/>
      <family val="2"/>
    </font>
    <font>
      <b/>
      <sz val="14"/>
      <color indexed="30"/>
      <name val="TH SarabunPSK"/>
      <family val="2"/>
    </font>
    <font>
      <b/>
      <sz val="14"/>
      <color indexed="10"/>
      <name val="TH SarabunPSK"/>
      <family val="2"/>
    </font>
    <font>
      <b/>
      <sz val="16"/>
      <color indexed="30"/>
      <name val="TH SarabunPSK"/>
      <family val="2"/>
    </font>
    <font>
      <b/>
      <sz val="13"/>
      <name val="TH SarabunPSK"/>
      <family val="2"/>
    </font>
    <font>
      <b/>
      <u/>
      <sz val="14"/>
      <color indexed="10"/>
      <name val="TH SarabunPSK"/>
      <family val="2"/>
    </font>
    <font>
      <b/>
      <u/>
      <sz val="14"/>
      <color indexed="12"/>
      <name val="TH SarabunPSK"/>
      <family val="2"/>
    </font>
    <font>
      <i/>
      <sz val="14"/>
      <name val="TH SarabunPSK"/>
      <family val="2"/>
    </font>
    <font>
      <b/>
      <i/>
      <u/>
      <sz val="16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6"/>
      <color indexed="10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sz val="18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u val="double"/>
      <sz val="12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0"/>
      <name val="TH SarabunPSK"/>
      <family val="2"/>
    </font>
    <font>
      <u/>
      <sz val="12"/>
      <name val="TH SarabunPSK"/>
      <family val="2"/>
    </font>
    <font>
      <b/>
      <sz val="12"/>
      <color indexed="10"/>
      <name val="TH SarabunPSK"/>
      <family val="2"/>
    </font>
    <font>
      <b/>
      <u val="double"/>
      <sz val="12"/>
      <name val="TH SarabunPSK"/>
      <family val="2"/>
    </font>
    <font>
      <b/>
      <u val="double"/>
      <sz val="12"/>
      <color indexed="10"/>
      <name val="TH SarabunPSK"/>
      <family val="2"/>
    </font>
    <font>
      <b/>
      <u val="doubleAccounting"/>
      <sz val="13"/>
      <color indexed="10"/>
      <name val="TH SarabunPSK"/>
      <family val="2"/>
    </font>
    <font>
      <sz val="13"/>
      <name val="TH SarabunPSK"/>
      <family val="2"/>
    </font>
    <font>
      <b/>
      <u/>
      <sz val="12"/>
      <name val="TH SarabunPSK"/>
      <family val="2"/>
    </font>
    <font>
      <b/>
      <u val="double"/>
      <sz val="14"/>
      <color indexed="10"/>
      <name val="TH SarabunPSK"/>
      <family val="2"/>
    </font>
    <font>
      <sz val="12"/>
      <color indexed="8"/>
      <name val="TH SarabunPSK"/>
      <family val="2"/>
    </font>
    <font>
      <b/>
      <u/>
      <sz val="16"/>
      <name val="TH SarabunPSK"/>
      <family val="2"/>
    </font>
    <font>
      <b/>
      <sz val="12"/>
      <color indexed="12"/>
      <name val="TH SarabunPSK"/>
      <family val="2"/>
    </font>
    <font>
      <b/>
      <sz val="14"/>
      <color indexed="18"/>
      <name val="TH SarabunPSK"/>
      <family val="2"/>
    </font>
    <font>
      <b/>
      <sz val="14"/>
      <color indexed="9"/>
      <name val="TH SarabunPSK"/>
      <family val="2"/>
    </font>
    <font>
      <b/>
      <sz val="18"/>
      <color indexed="9"/>
      <name val="TH SarabunPSK"/>
      <family val="2"/>
    </font>
    <font>
      <b/>
      <u/>
      <sz val="16"/>
      <color indexed="18"/>
      <name val="TH SarabunPSK"/>
      <family val="2"/>
    </font>
    <font>
      <b/>
      <u/>
      <sz val="16"/>
      <color indexed="10"/>
      <name val="TH SarabunPSK"/>
      <family val="2"/>
    </font>
    <font>
      <b/>
      <u/>
      <sz val="14"/>
      <color indexed="18"/>
      <name val="TH SarabunPSK"/>
      <family val="2"/>
    </font>
    <font>
      <sz val="12"/>
      <color indexed="12"/>
      <name val="TH SarabunPSK"/>
      <family val="2"/>
    </font>
    <font>
      <b/>
      <sz val="12"/>
      <color indexed="30"/>
      <name val="TH SarabunPSK"/>
      <family val="2"/>
    </font>
    <font>
      <b/>
      <u/>
      <sz val="12"/>
      <color indexed="10"/>
      <name val="TH SarabunPSK"/>
      <family val="2"/>
    </font>
    <font>
      <b/>
      <sz val="13.5"/>
      <name val="TH SarabunPSK"/>
      <family val="2"/>
    </font>
    <font>
      <b/>
      <u val="double"/>
      <sz val="13.5"/>
      <color indexed="10"/>
      <name val="TH SarabunPSK"/>
      <family val="2"/>
    </font>
    <font>
      <b/>
      <u val="double"/>
      <sz val="13.5"/>
      <color indexed="30"/>
      <name val="TH SarabunPSK"/>
      <family val="2"/>
    </font>
    <font>
      <sz val="10"/>
      <name val="TH SarabunPSK"/>
      <family val="2"/>
    </font>
    <font>
      <b/>
      <sz val="13.5"/>
      <color indexed="30"/>
      <name val="TH SarabunPSK"/>
      <family val="2"/>
    </font>
    <font>
      <b/>
      <sz val="13.5"/>
      <color indexed="12"/>
      <name val="TH SarabunPSK"/>
      <family val="2"/>
    </font>
    <font>
      <sz val="13.5"/>
      <color indexed="10"/>
      <name val="TH SarabunPSK"/>
      <family val="2"/>
    </font>
    <font>
      <sz val="13.5"/>
      <color indexed="8"/>
      <name val="TH SarabunPSK"/>
      <family val="2"/>
    </font>
    <font>
      <sz val="14"/>
      <color indexed="9"/>
      <name val="TH SarabunPSK"/>
      <family val="2"/>
    </font>
    <font>
      <sz val="12"/>
      <color indexed="9"/>
      <name val="TH SarabunPSK"/>
      <family val="2"/>
    </font>
    <font>
      <sz val="18"/>
      <name val="TH SarabunPSK"/>
      <family val="2"/>
    </font>
    <font>
      <b/>
      <sz val="26"/>
      <name val="TH SarabunPSK"/>
      <family val="2"/>
    </font>
    <font>
      <b/>
      <sz val="16"/>
      <color indexed="12"/>
      <name val="TH SarabunPSK"/>
      <family val="2"/>
    </font>
    <font>
      <sz val="9"/>
      <name val="TH SarabunPSK"/>
      <family val="2"/>
    </font>
    <font>
      <u/>
      <sz val="15"/>
      <name val="TH SarabunPSK"/>
      <family val="2"/>
    </font>
    <font>
      <sz val="15"/>
      <name val="TH SarabunPSK"/>
      <family val="2"/>
    </font>
    <font>
      <sz val="18"/>
      <color indexed="12"/>
      <name val="TH SarabunPSK"/>
      <family val="2"/>
    </font>
    <font>
      <sz val="14"/>
      <color indexed="14"/>
      <name val="TH SarabunPSK"/>
      <family val="2"/>
    </font>
    <font>
      <b/>
      <u val="singleAccounting"/>
      <sz val="14"/>
      <color indexed="30"/>
      <name val="TH SarabunPSK"/>
      <family val="2"/>
    </font>
    <font>
      <sz val="9"/>
      <color indexed="12"/>
      <name val="TH SarabunPSK"/>
      <family val="2"/>
    </font>
    <font>
      <b/>
      <u val="double"/>
      <sz val="14"/>
      <name val="TH SarabunPSK"/>
      <family val="2"/>
    </font>
    <font>
      <b/>
      <sz val="20"/>
      <color indexed="10"/>
      <name val="TH SarabunPSK"/>
      <family val="2"/>
    </font>
    <font>
      <b/>
      <sz val="36"/>
      <name val="TH SarabunPSK"/>
      <family val="2"/>
    </font>
    <font>
      <b/>
      <sz val="24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16"/>
      <color indexed="8"/>
      <name val="TH SarabunIT๙"/>
      <family val="2"/>
    </font>
    <font>
      <b/>
      <sz val="16"/>
      <color indexed="8"/>
      <name val="TH SarabunIT๙"/>
      <family val="2"/>
    </font>
    <font>
      <b/>
      <u/>
      <sz val="16"/>
      <color indexed="8"/>
      <name val="TH SarabunIT๙"/>
      <family val="2"/>
    </font>
    <font>
      <b/>
      <sz val="12"/>
      <name val="Symbol"/>
      <family val="1"/>
      <charset val="2"/>
    </font>
    <font>
      <b/>
      <vertAlign val="superscript"/>
      <sz val="12"/>
      <name val="TH SarabunPSK"/>
      <family val="2"/>
    </font>
    <font>
      <b/>
      <u val="doubleAccounting"/>
      <sz val="12"/>
      <name val="TH SarabunPSK"/>
      <family val="2"/>
    </font>
    <font>
      <sz val="11"/>
      <color indexed="8"/>
      <name val="TH SarabunPSK"/>
      <family val="2"/>
    </font>
    <font>
      <sz val="14"/>
      <name val="Symbol"/>
      <family val="1"/>
      <charset val="2"/>
    </font>
    <font>
      <b/>
      <vertAlign val="superscript"/>
      <sz val="14"/>
      <name val="TH SarabunPSK"/>
      <family val="2"/>
    </font>
    <font>
      <b/>
      <i/>
      <u/>
      <sz val="18"/>
      <color indexed="8"/>
      <name val="TH SarabunPSK"/>
      <family val="2"/>
    </font>
    <font>
      <b/>
      <i/>
      <u/>
      <sz val="14"/>
      <color indexed="8"/>
      <name val="TH SarabunPSK"/>
      <family val="2"/>
    </font>
    <font>
      <b/>
      <i/>
      <u val="double"/>
      <sz val="16"/>
      <color indexed="8"/>
      <name val="TH SarabunPSK"/>
      <family val="2"/>
    </font>
    <font>
      <b/>
      <u val="double"/>
      <sz val="16"/>
      <color indexed="8"/>
      <name val="TH SarabunPSK"/>
      <family val="2"/>
    </font>
    <font>
      <b/>
      <i/>
      <sz val="14"/>
      <color indexed="8"/>
      <name val="TH SarabunPSK"/>
      <family val="2"/>
    </font>
    <font>
      <b/>
      <u val="double"/>
      <sz val="14"/>
      <color indexed="8"/>
      <name val="TH SarabunPSK"/>
      <family val="2"/>
    </font>
    <font>
      <sz val="12"/>
      <name val="Cordia New"/>
      <family val="2"/>
    </font>
    <font>
      <sz val="11"/>
      <color theme="1"/>
      <name val="Tahoma"/>
      <family val="2"/>
      <charset val="222"/>
      <scheme val="minor"/>
    </font>
    <font>
      <sz val="16"/>
      <color rgb="FF0000FF"/>
      <name val="TH SarabunPSK"/>
      <family val="2"/>
    </font>
    <font>
      <sz val="16"/>
      <color rgb="FF0000CC"/>
      <name val="TH SarabunPSK"/>
      <family val="2"/>
    </font>
    <font>
      <b/>
      <u/>
      <sz val="14"/>
      <color rgb="FF0070C0"/>
      <name val="TH SarabunPSK"/>
      <family val="2"/>
    </font>
    <font>
      <sz val="14"/>
      <color rgb="FF0070C0"/>
      <name val="TH SarabunPSK"/>
      <family val="2"/>
    </font>
    <font>
      <b/>
      <sz val="16"/>
      <color rgb="FF000099"/>
      <name val="TH SarabunPSK"/>
      <family val="2"/>
    </font>
    <font>
      <b/>
      <sz val="14"/>
      <color rgb="FF0033CC"/>
      <name val="TH SarabunPSK"/>
      <family val="2"/>
    </font>
    <font>
      <b/>
      <sz val="14"/>
      <color theme="0"/>
      <name val="TH SarabunPSK"/>
      <family val="2"/>
    </font>
    <font>
      <b/>
      <sz val="16"/>
      <color rgb="FF0033CC"/>
      <name val="TH SarabunPSK"/>
      <family val="2"/>
    </font>
    <font>
      <b/>
      <u/>
      <sz val="14"/>
      <color rgb="FFFF0000"/>
      <name val="TH SarabunPSK"/>
      <family val="2"/>
    </font>
    <font>
      <b/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2"/>
      <color theme="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b/>
      <u val="double"/>
      <sz val="20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rgb="FF0000CC"/>
      <name val="TH SarabunPSK"/>
      <family val="2"/>
    </font>
    <font>
      <u val="double"/>
      <sz val="12"/>
      <color rgb="FFFF0000"/>
      <name val="TH SarabunPSK"/>
      <family val="2"/>
    </font>
    <font>
      <b/>
      <sz val="12"/>
      <color rgb="FFFF0000"/>
      <name val="TH SarabunPSK"/>
      <family val="2"/>
    </font>
    <font>
      <b/>
      <sz val="14"/>
      <color rgb="FF0000CC"/>
      <name val="TH SarabunPSK"/>
      <family val="2"/>
    </font>
    <font>
      <sz val="14"/>
      <color rgb="FFFF0000"/>
      <name val="TH SarabunPSK"/>
      <family val="2"/>
    </font>
    <font>
      <sz val="14"/>
      <color rgb="FF0000CC"/>
      <name val="TH SarabunPSK"/>
      <family val="2"/>
    </font>
    <font>
      <b/>
      <sz val="18"/>
      <color rgb="FF0000CC"/>
      <name val="TH SarabunPSK"/>
      <family val="2"/>
    </font>
    <font>
      <sz val="12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20"/>
      <color rgb="FFFF0000"/>
      <name val="TH SarabunPSK"/>
      <family val="2"/>
    </font>
    <font>
      <b/>
      <u/>
      <sz val="18"/>
      <color rgb="FFFF0000"/>
      <name val="TH SarabunPSK"/>
      <family val="2"/>
    </font>
    <font>
      <b/>
      <sz val="18"/>
      <color rgb="FF0033CC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 val="double"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8"/>
      <color rgb="FF0000CC"/>
      <name val="TH SarabunPSK"/>
      <family val="2"/>
    </font>
    <font>
      <b/>
      <sz val="16"/>
      <color rgb="FF0000CC"/>
      <name val="TH SarabunPSK"/>
      <family val="2"/>
    </font>
    <font>
      <b/>
      <u val="double"/>
      <sz val="20"/>
      <color rgb="FF0000CC"/>
      <name val="TH SarabunPSK"/>
      <family val="2"/>
    </font>
    <font>
      <b/>
      <u val="double"/>
      <sz val="22"/>
      <color rgb="FF0000CC"/>
      <name val="TH SarabunPSK"/>
      <family val="2"/>
    </font>
    <font>
      <sz val="14"/>
      <color rgb="FF0000CC"/>
      <name val="Cordia New"/>
      <family val="2"/>
    </font>
    <font>
      <b/>
      <u val="double"/>
      <sz val="26"/>
      <color rgb="FF0000CC"/>
      <name val="TH SarabunPSK"/>
      <family val="2"/>
    </font>
    <font>
      <b/>
      <u val="double"/>
      <sz val="18"/>
      <color theme="1"/>
      <name val="TH SarabunIT๙"/>
      <family val="2"/>
    </font>
    <font>
      <b/>
      <u/>
      <sz val="14"/>
      <color theme="0"/>
      <name val="TH SarabunPSK"/>
      <family val="2"/>
    </font>
    <font>
      <b/>
      <u/>
      <sz val="18"/>
      <color rgb="FF0070C0"/>
      <name val="TH SarabunPSK"/>
      <family val="2"/>
    </font>
    <font>
      <b/>
      <sz val="22"/>
      <color rgb="FFFF0000"/>
      <name val="TH SarabunPSK"/>
      <family val="2"/>
    </font>
    <font>
      <b/>
      <sz val="16"/>
      <color theme="1"/>
      <name val="TH SarabunPSK"/>
      <family val="2"/>
    </font>
    <font>
      <b/>
      <i/>
      <sz val="14"/>
      <color indexed="10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Symbol"/>
      <family val="1"/>
      <charset val="2"/>
    </font>
    <font>
      <b/>
      <sz val="14"/>
      <name val="Symbol"/>
      <family val="1"/>
      <charset val="2"/>
    </font>
    <font>
      <b/>
      <sz val="12"/>
      <color theme="1"/>
      <name val="TH SarabunPSK"/>
      <family val="2"/>
    </font>
    <font>
      <b/>
      <sz val="16"/>
      <color indexed="9"/>
      <name val="TH SarabunPSK"/>
      <family val="2"/>
    </font>
    <font>
      <sz val="14"/>
      <color theme="0"/>
      <name val="Cordia New"/>
      <family val="2"/>
    </font>
    <font>
      <b/>
      <sz val="18"/>
      <color theme="0"/>
      <name val="TH SarabunPSK"/>
      <family val="2"/>
    </font>
    <font>
      <sz val="7"/>
      <color rgb="FF171717"/>
      <name val="Times New Roman"/>
      <family val="1"/>
    </font>
    <font>
      <sz val="14"/>
      <color rgb="FF1F1F1F"/>
      <name val="TH SarabunPSK"/>
      <family val="2"/>
    </font>
    <font>
      <sz val="14"/>
      <color rgb="FF040404"/>
      <name val="TH SarabunPSK"/>
      <family val="2"/>
    </font>
    <font>
      <sz val="14"/>
      <color rgb="FF3B3B3B"/>
      <name val="TH SarabunPSK"/>
      <family val="2"/>
    </font>
    <font>
      <sz val="14"/>
      <color rgb="FF171717"/>
      <name val="TH SarabunPSK"/>
      <family val="2"/>
    </font>
    <font>
      <sz val="14"/>
      <color rgb="FF020202"/>
      <name val="TH SarabunPSK"/>
      <family val="2"/>
    </font>
    <font>
      <sz val="14"/>
      <color rgb="FF2A2A2A"/>
      <name val="TH SarabunPSK"/>
      <family val="2"/>
    </font>
    <font>
      <sz val="14"/>
      <color rgb="FF3F3F3F"/>
      <name val="TH SarabunPSK"/>
      <family val="2"/>
    </font>
    <font>
      <sz val="14"/>
      <color rgb="FF181818"/>
      <name val="TH SarabunPSK"/>
      <family val="2"/>
    </font>
    <font>
      <b/>
      <u val="double"/>
      <sz val="12"/>
      <color indexed="8"/>
      <name val="TH SarabunPSK"/>
      <family val="2"/>
    </font>
    <font>
      <b/>
      <u val="double"/>
      <sz val="18"/>
      <name val="TH SarabunPSK"/>
      <family val="2"/>
    </font>
    <font>
      <sz val="14"/>
      <name val="Cordia New"/>
      <family val="2"/>
    </font>
    <font>
      <b/>
      <sz val="20"/>
      <name val="CordiaUPC"/>
      <family val="2"/>
      <charset val="222"/>
    </font>
    <font>
      <b/>
      <sz val="14"/>
      <name val="Cordia New"/>
      <family val="2"/>
    </font>
    <font>
      <b/>
      <sz val="14"/>
      <color indexed="13"/>
      <name val="Cordia New"/>
      <family val="2"/>
    </font>
    <font>
      <b/>
      <sz val="14"/>
      <name val="CordiaUPC"/>
      <family val="2"/>
      <charset val="222"/>
    </font>
    <font>
      <b/>
      <u val="singleAccounting"/>
      <sz val="16"/>
      <name val="TH SarabunPSK"/>
      <family val="2"/>
    </font>
    <font>
      <sz val="14"/>
      <color rgb="FF333333"/>
      <name val="TH SarabunPSK"/>
      <family val="2"/>
    </font>
    <font>
      <sz val="14"/>
      <color rgb="FF000000"/>
      <name val="TH SarabunPSK"/>
      <family val="2"/>
    </font>
    <font>
      <b/>
      <sz val="18"/>
      <color indexed="10"/>
      <name val="TH SarabunPSK"/>
      <family val="2"/>
    </font>
    <font>
      <b/>
      <vertAlign val="subscript"/>
      <sz val="16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6F3E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99"/>
        <bgColor indexed="64"/>
      </patternFill>
    </fill>
  </fills>
  <borders count="1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6">
    <xf numFmtId="0" fontId="0" fillId="0" borderId="0"/>
    <xf numFmtId="0" fontId="10" fillId="0" borderId="0">
      <alignment vertical="center"/>
    </xf>
    <xf numFmtId="207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210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211" fontId="12" fillId="0" borderId="0" applyFont="0" applyFill="0" applyBorder="0" applyAlignment="0" applyProtection="0"/>
    <xf numFmtId="212" fontId="12" fillId="0" borderId="0" applyFont="0" applyFill="0" applyBorder="0" applyAlignment="0" applyProtection="0"/>
    <xf numFmtId="210" fontId="5" fillId="0" borderId="0" applyFont="0" applyFill="0" applyBorder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14" fillId="0" borderId="0"/>
    <xf numFmtId="0" fontId="15" fillId="0" borderId="0"/>
    <xf numFmtId="9" fontId="16" fillId="2" borderId="0"/>
    <xf numFmtId="0" fontId="17" fillId="3" borderId="1">
      <alignment horizontal="centerContinuous" vertical="top"/>
    </xf>
    <xf numFmtId="0" fontId="16" fillId="0" borderId="0" applyFill="0" applyBorder="0" applyAlignment="0"/>
    <xf numFmtId="213" fontId="11" fillId="0" borderId="0" applyFill="0" applyBorder="0" applyAlignment="0"/>
    <xf numFmtId="0" fontId="18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214" fontId="5" fillId="0" borderId="0" applyFill="0" applyBorder="0" applyAlignment="0"/>
    <xf numFmtId="215" fontId="12" fillId="0" borderId="0" applyFill="0" applyBorder="0" applyAlignment="0"/>
    <xf numFmtId="213" fontId="11" fillId="0" borderId="0" applyFill="0" applyBorder="0" applyAlignment="0"/>
    <xf numFmtId="43" fontId="3" fillId="0" borderId="0" applyFont="0" applyFill="0" applyBorder="0" applyAlignment="0" applyProtection="0"/>
    <xf numFmtId="214" fontId="5" fillId="0" borderId="0" applyFont="0" applyFill="0" applyBorder="0" applyAlignment="0" applyProtection="0"/>
    <xf numFmtId="43" fontId="33" fillId="0" borderId="0" applyFont="0" applyFill="0" applyBorder="0" applyAlignment="0" applyProtection="0"/>
    <xf numFmtId="216" fontId="20" fillId="0" borderId="0"/>
    <xf numFmtId="0" fontId="17" fillId="3" borderId="1">
      <alignment horizontal="centerContinuous" vertical="top"/>
    </xf>
    <xf numFmtId="213" fontId="11" fillId="0" borderId="0" applyFont="0" applyFill="0" applyBorder="0" applyAlignment="0" applyProtection="0"/>
    <xf numFmtId="217" fontId="21" fillId="0" borderId="0"/>
    <xf numFmtId="14" fontId="22" fillId="0" borderId="0" applyFill="0" applyBorder="0" applyAlignment="0"/>
    <xf numFmtId="15" fontId="4" fillId="4" borderId="0">
      <alignment horizontal="centerContinuous"/>
    </xf>
    <xf numFmtId="195" fontId="21" fillId="0" borderId="0"/>
    <xf numFmtId="214" fontId="5" fillId="0" borderId="0" applyFill="0" applyBorder="0" applyAlignment="0"/>
    <xf numFmtId="213" fontId="11" fillId="0" borderId="0" applyFill="0" applyBorder="0" applyAlignment="0"/>
    <xf numFmtId="214" fontId="5" fillId="0" borderId="0" applyFill="0" applyBorder="0" applyAlignment="0"/>
    <xf numFmtId="215" fontId="12" fillId="0" borderId="0" applyFill="0" applyBorder="0" applyAlignment="0"/>
    <xf numFmtId="213" fontId="11" fillId="0" borderId="0" applyFill="0" applyBorder="0" applyAlignment="0"/>
    <xf numFmtId="38" fontId="23" fillId="3" borderId="0" applyNumberFormat="0" applyBorder="0" applyAlignment="0" applyProtection="0"/>
    <xf numFmtId="0" fontId="24" fillId="0" borderId="2" applyNumberFormat="0" applyAlignment="0" applyProtection="0">
      <alignment horizontal="left" vertical="center"/>
    </xf>
    <xf numFmtId="0" fontId="24" fillId="0" borderId="3">
      <alignment horizontal="left" vertical="center"/>
    </xf>
    <xf numFmtId="10" fontId="23" fillId="5" borderId="4" applyNumberFormat="0" applyBorder="0" applyAlignment="0" applyProtection="0"/>
    <xf numFmtId="214" fontId="5" fillId="0" borderId="0" applyFill="0" applyBorder="0" applyAlignment="0"/>
    <xf numFmtId="213" fontId="11" fillId="0" borderId="0" applyFill="0" applyBorder="0" applyAlignment="0"/>
    <xf numFmtId="214" fontId="5" fillId="0" borderId="0" applyFill="0" applyBorder="0" applyAlignment="0"/>
    <xf numFmtId="215" fontId="12" fillId="0" borderId="0" applyFill="0" applyBorder="0" applyAlignment="0"/>
    <xf numFmtId="213" fontId="11" fillId="0" borderId="0" applyFill="0" applyBorder="0" applyAlignment="0"/>
    <xf numFmtId="37" fontId="25" fillId="0" borderId="0"/>
    <xf numFmtId="218" fontId="5" fillId="0" borderId="0"/>
    <xf numFmtId="0" fontId="21" fillId="0" borderId="0"/>
    <xf numFmtId="0" fontId="3" fillId="0" borderId="0"/>
    <xf numFmtId="0" fontId="21" fillId="0" borderId="0"/>
    <xf numFmtId="0" fontId="33" fillId="0" borderId="0"/>
    <xf numFmtId="39" fontId="6" fillId="0" borderId="0"/>
    <xf numFmtId="4" fontId="3" fillId="0" borderId="0"/>
    <xf numFmtId="4" fontId="3" fillId="0" borderId="0"/>
    <xf numFmtId="0" fontId="5" fillId="0" borderId="0"/>
    <xf numFmtId="0" fontId="26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0" fontId="16" fillId="0" borderId="0" applyFont="0" applyFill="0" applyBorder="0" applyAlignment="0" applyProtection="0"/>
    <xf numFmtId="214" fontId="5" fillId="0" borderId="0" applyFill="0" applyBorder="0" applyAlignment="0"/>
    <xf numFmtId="213" fontId="11" fillId="0" borderId="0" applyFill="0" applyBorder="0" applyAlignment="0"/>
    <xf numFmtId="214" fontId="5" fillId="0" borderId="0" applyFill="0" applyBorder="0" applyAlignment="0"/>
    <xf numFmtId="215" fontId="12" fillId="0" borderId="0" applyFill="0" applyBorder="0" applyAlignment="0"/>
    <xf numFmtId="213" fontId="11" fillId="0" borderId="0" applyFill="0" applyBorder="0" applyAlignment="0"/>
    <xf numFmtId="1" fontId="16" fillId="0" borderId="5" applyNumberFormat="0" applyFill="0" applyAlignment="0" applyProtection="0">
      <alignment horizontal="center" vertical="center"/>
    </xf>
    <xf numFmtId="0" fontId="27" fillId="2" borderId="0"/>
    <xf numFmtId="49" fontId="22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3" fontId="28" fillId="0" borderId="6">
      <alignment horizontal="center"/>
    </xf>
    <xf numFmtId="219" fontId="5" fillId="0" borderId="0" applyFont="0" applyFill="0" applyBorder="0" applyAlignment="0" applyProtection="0"/>
    <xf numFmtId="220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8" fontId="14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1" fillId="0" borderId="0"/>
    <xf numFmtId="0" fontId="140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1" fillId="0" borderId="0"/>
  </cellStyleXfs>
  <cellXfs count="2973">
    <xf numFmtId="0" fontId="0" fillId="0" borderId="0" xfId="0"/>
    <xf numFmtId="0" fontId="35" fillId="0" borderId="0" xfId="53" applyFont="1" applyAlignment="1">
      <alignment vertical="top" wrapText="1"/>
    </xf>
    <xf numFmtId="0" fontId="35" fillId="0" borderId="0" xfId="53" applyFont="1" applyAlignment="1">
      <alignment horizontal="center" vertical="top" wrapText="1"/>
    </xf>
    <xf numFmtId="0" fontId="34" fillId="0" borderId="0" xfId="53" applyFont="1" applyAlignment="1">
      <alignment horizontal="right" vertical="top"/>
    </xf>
    <xf numFmtId="227" fontId="34" fillId="0" borderId="0" xfId="53" applyNumberFormat="1" applyFont="1" applyAlignment="1">
      <alignment horizontal="right" vertical="top" shrinkToFit="1"/>
    </xf>
    <xf numFmtId="0" fontId="34" fillId="0" borderId="0" xfId="53" applyFont="1" applyAlignment="1">
      <alignment horizontal="center" vertical="top" wrapText="1"/>
    </xf>
    <xf numFmtId="227" fontId="34" fillId="0" borderId="4" xfId="53" applyNumberFormat="1" applyFont="1" applyBorder="1" applyAlignment="1">
      <alignment horizontal="center" vertical="center" wrapText="1"/>
    </xf>
    <xf numFmtId="0" fontId="35" fillId="0" borderId="7" xfId="53" applyFont="1" applyBorder="1" applyAlignment="1">
      <alignment horizontal="center" vertical="center" wrapText="1"/>
    </xf>
    <xf numFmtId="0" fontId="35" fillId="0" borderId="7" xfId="53" applyFont="1" applyBorder="1" applyAlignment="1">
      <alignment vertical="center" wrapText="1"/>
    </xf>
    <xf numFmtId="189" fontId="35" fillId="0" borderId="7" xfId="53" applyNumberFormat="1" applyFont="1" applyBorder="1" applyAlignment="1">
      <alignment horizontal="center" vertical="center" wrapText="1"/>
    </xf>
    <xf numFmtId="227" fontId="35" fillId="0" borderId="7" xfId="53" applyNumberFormat="1" applyFont="1" applyBorder="1" applyAlignment="1">
      <alignment horizontal="center" vertical="center" wrapText="1"/>
    </xf>
    <xf numFmtId="0" fontId="35" fillId="0" borderId="0" xfId="53" applyFont="1" applyAlignment="1">
      <alignment vertical="center" wrapText="1"/>
    </xf>
    <xf numFmtId="0" fontId="35" fillId="0" borderId="8" xfId="53" applyFont="1" applyFill="1" applyBorder="1" applyAlignment="1">
      <alignment horizontal="center" vertical="center" wrapText="1"/>
    </xf>
    <xf numFmtId="189" fontId="35" fillId="0" borderId="8" xfId="53" applyNumberFormat="1" applyFont="1" applyFill="1" applyBorder="1" applyAlignment="1">
      <alignment horizontal="center" vertical="center" wrapText="1"/>
    </xf>
    <xf numFmtId="227" fontId="35" fillId="0" borderId="8" xfId="53" applyNumberFormat="1" applyFont="1" applyFill="1" applyBorder="1" applyAlignment="1">
      <alignment horizontal="center" vertical="center" wrapText="1"/>
    </xf>
    <xf numFmtId="189" fontId="36" fillId="0" borderId="8" xfId="53" applyNumberFormat="1" applyFont="1" applyFill="1" applyBorder="1" applyAlignment="1">
      <alignment horizontal="center" vertical="center" wrapText="1"/>
    </xf>
    <xf numFmtId="227" fontId="36" fillId="0" borderId="8" xfId="53" applyNumberFormat="1" applyFont="1" applyFill="1" applyBorder="1" applyAlignment="1">
      <alignment horizontal="center" vertical="center" wrapText="1"/>
    </xf>
    <xf numFmtId="0" fontId="34" fillId="0" borderId="8" xfId="53" applyFont="1" applyFill="1" applyBorder="1" applyAlignment="1">
      <alignment horizontal="center" vertical="center" shrinkToFit="1"/>
    </xf>
    <xf numFmtId="0" fontId="141" fillId="0" borderId="8" xfId="53" applyFont="1" applyFill="1" applyBorder="1" applyAlignment="1">
      <alignment horizontal="center" vertical="center"/>
    </xf>
    <xf numFmtId="0" fontId="141" fillId="0" borderId="8" xfId="89" applyFont="1" applyFill="1" applyBorder="1" applyAlignment="1">
      <alignment horizontal="left" vertical="center"/>
    </xf>
    <xf numFmtId="189" fontId="141" fillId="0" borderId="8" xfId="53" applyNumberFormat="1" applyFont="1" applyFill="1" applyBorder="1" applyAlignment="1">
      <alignment horizontal="center" vertical="center"/>
    </xf>
    <xf numFmtId="200" fontId="141" fillId="0" borderId="8" xfId="26" applyNumberFormat="1" applyFont="1" applyFill="1" applyBorder="1" applyAlignment="1">
      <alignment horizontal="center" vertical="center"/>
    </xf>
    <xf numFmtId="0" fontId="141" fillId="0" borderId="8" xfId="53" applyNumberFormat="1" applyFont="1" applyFill="1" applyBorder="1" applyAlignment="1">
      <alignment horizontal="center" vertical="center"/>
    </xf>
    <xf numFmtId="227" fontId="141" fillId="0" borderId="8" xfId="53" applyNumberFormat="1" applyFont="1" applyFill="1" applyBorder="1" applyAlignment="1">
      <alignment horizontal="center" vertical="center"/>
    </xf>
    <xf numFmtId="0" fontId="35" fillId="0" borderId="0" xfId="53" applyFont="1" applyAlignment="1">
      <alignment vertical="center"/>
    </xf>
    <xf numFmtId="43" fontId="141" fillId="0" borderId="8" xfId="26" applyFont="1" applyFill="1" applyBorder="1" applyAlignment="1">
      <alignment horizontal="center" vertical="center"/>
    </xf>
    <xf numFmtId="223" fontId="141" fillId="0" borderId="8" xfId="53" applyNumberFormat="1" applyFont="1" applyFill="1" applyBorder="1" applyAlignment="1">
      <alignment horizontal="center" vertical="center"/>
    </xf>
    <xf numFmtId="0" fontId="141" fillId="0" borderId="0" xfId="53" applyFont="1" applyAlignment="1">
      <alignment vertical="center"/>
    </xf>
    <xf numFmtId="0" fontId="35" fillId="0" borderId="9" xfId="53" applyFont="1" applyFill="1" applyBorder="1" applyAlignment="1">
      <alignment horizontal="center" vertical="center" wrapText="1"/>
    </xf>
    <xf numFmtId="0" fontId="141" fillId="0" borderId="9" xfId="53" applyFont="1" applyFill="1" applyBorder="1" applyAlignment="1">
      <alignment horizontal="center" vertical="center"/>
    </xf>
    <xf numFmtId="189" fontId="141" fillId="0" borderId="9" xfId="53" applyNumberFormat="1" applyFont="1" applyFill="1" applyBorder="1" applyAlignment="1">
      <alignment horizontal="center" vertical="center"/>
    </xf>
    <xf numFmtId="200" fontId="141" fillId="0" borderId="9" xfId="26" applyNumberFormat="1" applyFont="1" applyFill="1" applyBorder="1" applyAlignment="1">
      <alignment horizontal="center" vertical="center"/>
    </xf>
    <xf numFmtId="43" fontId="141" fillId="0" borderId="9" xfId="26" applyFont="1" applyFill="1" applyBorder="1" applyAlignment="1">
      <alignment horizontal="center" vertical="center"/>
    </xf>
    <xf numFmtId="223" fontId="141" fillId="0" borderId="9" xfId="53" applyNumberFormat="1" applyFont="1" applyFill="1" applyBorder="1" applyAlignment="1">
      <alignment horizontal="center" vertical="center"/>
    </xf>
    <xf numFmtId="189" fontId="34" fillId="6" borderId="4" xfId="53" applyNumberFormat="1" applyFont="1" applyFill="1" applyBorder="1" applyAlignment="1">
      <alignment horizontal="center" vertical="top" wrapText="1"/>
    </xf>
    <xf numFmtId="227" fontId="35" fillId="6" borderId="4" xfId="53" applyNumberFormat="1" applyFont="1" applyFill="1" applyBorder="1" applyAlignment="1">
      <alignment horizontal="center" vertical="top" wrapText="1"/>
    </xf>
    <xf numFmtId="0" fontId="35" fillId="0" borderId="0" xfId="53" applyFont="1" applyAlignment="1">
      <alignment vertical="top" shrinkToFit="1"/>
    </xf>
    <xf numFmtId="227" fontId="35" fillId="0" borderId="0" xfId="53" applyNumberFormat="1" applyFont="1" applyAlignment="1">
      <alignment horizontal="center" vertical="top" wrapText="1"/>
    </xf>
    <xf numFmtId="0" fontId="35" fillId="0" borderId="8" xfId="53" applyFont="1" applyBorder="1" applyAlignment="1">
      <alignment horizontal="center" vertical="center" wrapText="1"/>
    </xf>
    <xf numFmtId="0" fontId="35" fillId="0" borderId="8" xfId="53" applyFont="1" applyBorder="1" applyAlignment="1">
      <alignment vertical="center" wrapText="1"/>
    </xf>
    <xf numFmtId="189" fontId="35" fillId="0" borderId="8" xfId="53" applyNumberFormat="1" applyFont="1" applyBorder="1" applyAlignment="1">
      <alignment horizontal="center" vertical="center" wrapText="1"/>
    </xf>
    <xf numFmtId="227" fontId="35" fillId="0" borderId="8" xfId="53" applyNumberFormat="1" applyFont="1" applyBorder="1" applyAlignment="1">
      <alignment horizontal="center" vertical="center" wrapText="1"/>
    </xf>
    <xf numFmtId="0" fontId="35" fillId="0" borderId="9" xfId="53" applyFont="1" applyBorder="1" applyAlignment="1">
      <alignment horizontal="center" vertical="center" wrapText="1"/>
    </xf>
    <xf numFmtId="0" fontId="35" fillId="0" borderId="9" xfId="53" applyFont="1" applyBorder="1" applyAlignment="1">
      <alignment vertical="center" wrapText="1"/>
    </xf>
    <xf numFmtId="189" fontId="35" fillId="0" borderId="9" xfId="53" applyNumberFormat="1" applyFont="1" applyBorder="1" applyAlignment="1">
      <alignment horizontal="center" vertical="center" wrapText="1"/>
    </xf>
    <xf numFmtId="227" fontId="35" fillId="0" borderId="9" xfId="53" applyNumberFormat="1" applyFont="1" applyBorder="1" applyAlignment="1">
      <alignment horizontal="center" vertical="center" wrapText="1"/>
    </xf>
    <xf numFmtId="189" fontId="35" fillId="6" borderId="10" xfId="53" applyNumberFormat="1" applyFont="1" applyFill="1" applyBorder="1" applyAlignment="1">
      <alignment horizontal="center" vertical="top" wrapText="1"/>
    </xf>
    <xf numFmtId="227" fontId="35" fillId="6" borderId="10" xfId="53" applyNumberFormat="1" applyFont="1" applyFill="1" applyBorder="1" applyAlignment="1">
      <alignment horizontal="center" vertical="top" wrapText="1"/>
    </xf>
    <xf numFmtId="0" fontId="35" fillId="0" borderId="0" xfId="53" applyFont="1" applyFill="1" applyAlignment="1">
      <alignment vertical="top" wrapText="1"/>
    </xf>
    <xf numFmtId="189" fontId="36" fillId="0" borderId="8" xfId="53" applyNumberFormat="1" applyFont="1" applyBorder="1" applyAlignment="1">
      <alignment horizontal="center" vertical="center" wrapText="1"/>
    </xf>
    <xf numFmtId="0" fontId="142" fillId="0" borderId="8" xfId="88" applyFont="1" applyFill="1" applyBorder="1" applyAlignment="1">
      <alignment horizontal="center" vertical="center"/>
    </xf>
    <xf numFmtId="0" fontId="142" fillId="0" borderId="8" xfId="26" applyNumberFormat="1" applyFont="1" applyFill="1" applyBorder="1" applyAlignment="1">
      <alignment horizontal="center" vertical="center"/>
    </xf>
    <xf numFmtId="200" fontId="142" fillId="0" borderId="8" xfId="26" applyNumberFormat="1" applyFont="1" applyFill="1" applyBorder="1" applyAlignment="1">
      <alignment horizontal="center" vertical="center"/>
    </xf>
    <xf numFmtId="189" fontId="35" fillId="6" borderId="4" xfId="53" applyNumberFormat="1" applyFont="1" applyFill="1" applyBorder="1" applyAlignment="1">
      <alignment horizontal="center" vertical="top" wrapText="1"/>
    </xf>
    <xf numFmtId="0" fontId="36" fillId="0" borderId="8" xfId="53" applyFont="1" applyBorder="1" applyAlignment="1">
      <alignment vertical="center" wrapText="1"/>
    </xf>
    <xf numFmtId="0" fontId="36" fillId="0" borderId="8" xfId="53" applyFont="1" applyBorder="1" applyAlignment="1">
      <alignment horizontal="center" vertical="center" wrapText="1"/>
    </xf>
    <xf numFmtId="0" fontId="36" fillId="0" borderId="9" xfId="53" applyFont="1" applyBorder="1" applyAlignment="1">
      <alignment horizontal="center" vertical="center" wrapText="1"/>
    </xf>
    <xf numFmtId="189" fontId="36" fillId="0" borderId="9" xfId="53" applyNumberFormat="1" applyFont="1" applyFill="1" applyBorder="1" applyAlignment="1">
      <alignment horizontal="center" vertical="center" wrapText="1"/>
    </xf>
    <xf numFmtId="227" fontId="36" fillId="0" borderId="9" xfId="53" applyNumberFormat="1" applyFont="1" applyFill="1" applyBorder="1" applyAlignment="1">
      <alignment horizontal="center" vertical="center" wrapText="1"/>
    </xf>
    <xf numFmtId="0" fontId="35" fillId="6" borderId="1" xfId="53" applyFont="1" applyFill="1" applyBorder="1" applyAlignment="1">
      <alignment horizontal="center" vertical="top" wrapText="1"/>
    </xf>
    <xf numFmtId="0" fontId="35" fillId="6" borderId="3" xfId="53" applyFont="1" applyFill="1" applyBorder="1" applyAlignment="1">
      <alignment vertical="top" wrapText="1"/>
    </xf>
    <xf numFmtId="0" fontId="35" fillId="6" borderId="3" xfId="53" applyFont="1" applyFill="1" applyBorder="1" applyAlignment="1">
      <alignment vertical="top" shrinkToFit="1"/>
    </xf>
    <xf numFmtId="0" fontId="35" fillId="6" borderId="3" xfId="53" applyFont="1" applyFill="1" applyBorder="1" applyAlignment="1">
      <alignment horizontal="center" vertical="top" wrapText="1"/>
    </xf>
    <xf numFmtId="0" fontId="34" fillId="6" borderId="4" xfId="53" applyFont="1" applyFill="1" applyBorder="1" applyAlignment="1">
      <alignment horizontal="center" vertical="top" wrapText="1"/>
    </xf>
    <xf numFmtId="189" fontId="35" fillId="6" borderId="3" xfId="53" applyNumberFormat="1" applyFont="1" applyFill="1" applyBorder="1" applyAlignment="1">
      <alignment horizontal="center" vertical="top" wrapText="1"/>
    </xf>
    <xf numFmtId="189" fontId="35" fillId="0" borderId="0" xfId="53" applyNumberFormat="1" applyFont="1" applyAlignment="1">
      <alignment horizontal="center" vertical="top" wrapText="1"/>
    </xf>
    <xf numFmtId="200" fontId="36" fillId="0" borderId="0" xfId="26" applyNumberFormat="1" applyFont="1" applyAlignment="1">
      <alignment horizontal="center" vertical="top" shrinkToFit="1"/>
    </xf>
    <xf numFmtId="227" fontId="36" fillId="0" borderId="0" xfId="26" applyNumberFormat="1" applyFont="1" applyAlignment="1">
      <alignment horizontal="center" vertical="top" shrinkToFit="1"/>
    </xf>
    <xf numFmtId="0" fontId="35" fillId="0" borderId="8" xfId="53" applyFont="1" applyFill="1" applyBorder="1" applyAlignment="1">
      <alignment horizontal="center" vertical="center"/>
    </xf>
    <xf numFmtId="0" fontId="142" fillId="0" borderId="8" xfId="53" applyFont="1" applyFill="1" applyBorder="1" applyAlignment="1">
      <alignment horizontal="center" vertical="center"/>
    </xf>
    <xf numFmtId="223" fontId="142" fillId="0" borderId="8" xfId="53" applyNumberFormat="1" applyFont="1" applyFill="1" applyBorder="1" applyAlignment="1">
      <alignment vertical="center"/>
    </xf>
    <xf numFmtId="189" fontId="142" fillId="0" borderId="8" xfId="88" applyNumberFormat="1" applyFont="1" applyFill="1" applyBorder="1" applyAlignment="1">
      <alignment horizontal="center" vertical="center"/>
    </xf>
    <xf numFmtId="0" fontId="142" fillId="0" borderId="8" xfId="53" applyNumberFormat="1" applyFont="1" applyFill="1" applyBorder="1" applyAlignment="1">
      <alignment horizontal="center" vertical="center"/>
    </xf>
    <xf numFmtId="0" fontId="142" fillId="0" borderId="8" xfId="53" applyNumberFormat="1" applyFont="1" applyFill="1" applyBorder="1" applyAlignment="1">
      <alignment vertical="center"/>
    </xf>
    <xf numFmtId="0" fontId="142" fillId="0" borderId="8" xfId="53" applyFont="1" applyFill="1" applyBorder="1" applyAlignment="1">
      <alignment vertical="center"/>
    </xf>
    <xf numFmtId="200" fontId="142" fillId="0" borderId="8" xfId="53" applyNumberFormat="1" applyFont="1" applyFill="1" applyBorder="1" applyAlignment="1">
      <alignment horizontal="center" vertical="center"/>
    </xf>
    <xf numFmtId="0" fontId="35" fillId="0" borderId="11" xfId="53" applyFont="1" applyBorder="1" applyAlignment="1">
      <alignment vertical="center" wrapText="1"/>
    </xf>
    <xf numFmtId="0" fontId="36" fillId="0" borderId="12" xfId="53" applyFont="1" applyBorder="1" applyAlignment="1">
      <alignment vertical="center" wrapText="1"/>
    </xf>
    <xf numFmtId="0" fontId="36" fillId="0" borderId="13" xfId="53" applyFont="1" applyBorder="1" applyAlignment="1">
      <alignment horizontal="center" vertical="center" wrapText="1"/>
    </xf>
    <xf numFmtId="189" fontId="36" fillId="0" borderId="13" xfId="53" applyNumberFormat="1" applyFont="1" applyBorder="1" applyAlignment="1">
      <alignment horizontal="center" vertical="center" wrapText="1"/>
    </xf>
    <xf numFmtId="189" fontId="36" fillId="0" borderId="13" xfId="53" applyNumberFormat="1" applyFont="1" applyFill="1" applyBorder="1" applyAlignment="1">
      <alignment horizontal="center" vertical="center" wrapText="1"/>
    </xf>
    <xf numFmtId="0" fontId="35" fillId="0" borderId="13" xfId="53" applyFont="1" applyBorder="1" applyAlignment="1">
      <alignment vertical="center" wrapText="1"/>
    </xf>
    <xf numFmtId="0" fontId="36" fillId="0" borderId="14" xfId="53" applyFont="1" applyBorder="1" applyAlignment="1">
      <alignment vertical="center" wrapText="1"/>
    </xf>
    <xf numFmtId="0" fontId="36" fillId="0" borderId="15" xfId="53" applyFont="1" applyBorder="1" applyAlignment="1">
      <alignment horizontal="center" vertical="center" wrapText="1"/>
    </xf>
    <xf numFmtId="189" fontId="36" fillId="0" borderId="15" xfId="53" applyNumberFormat="1" applyFont="1" applyBorder="1" applyAlignment="1">
      <alignment horizontal="center" vertical="center" wrapText="1"/>
    </xf>
    <xf numFmtId="189" fontId="36" fillId="0" borderId="15" xfId="53" applyNumberFormat="1" applyFont="1" applyFill="1" applyBorder="1" applyAlignment="1">
      <alignment horizontal="center" vertical="center" wrapText="1"/>
    </xf>
    <xf numFmtId="0" fontId="35" fillId="0" borderId="16" xfId="53" applyFont="1" applyBorder="1" applyAlignment="1">
      <alignment vertical="center" wrapText="1"/>
    </xf>
    <xf numFmtId="0" fontId="35" fillId="0" borderId="7" xfId="53" applyFont="1" applyBorder="1" applyAlignment="1">
      <alignment horizontal="center" vertical="center"/>
    </xf>
    <xf numFmtId="0" fontId="35" fillId="0" borderId="8" xfId="53" applyFont="1" applyBorder="1" applyAlignment="1">
      <alignment horizontal="center" vertical="center"/>
    </xf>
    <xf numFmtId="0" fontId="35" fillId="0" borderId="7" xfId="53" applyFont="1" applyBorder="1" applyAlignment="1">
      <alignment vertical="center"/>
    </xf>
    <xf numFmtId="0" fontId="35" fillId="0" borderId="8" xfId="53" applyFont="1" applyBorder="1" applyAlignment="1">
      <alignment vertical="center"/>
    </xf>
    <xf numFmtId="0" fontId="142" fillId="0" borderId="8" xfId="53" applyFont="1" applyBorder="1" applyAlignment="1">
      <alignment vertical="center"/>
    </xf>
    <xf numFmtId="189" fontId="35" fillId="0" borderId="8" xfId="53" applyNumberFormat="1" applyFont="1" applyBorder="1" applyAlignment="1">
      <alignment horizontal="center" vertical="center"/>
    </xf>
    <xf numFmtId="227" fontId="35" fillId="0" borderId="7" xfId="53" applyNumberFormat="1" applyFont="1" applyBorder="1" applyAlignment="1">
      <alignment horizontal="center" vertical="center"/>
    </xf>
    <xf numFmtId="227" fontId="35" fillId="0" borderId="8" xfId="53" applyNumberFormat="1" applyFont="1" applyBorder="1" applyAlignment="1">
      <alignment horizontal="center" vertical="center"/>
    </xf>
    <xf numFmtId="0" fontId="35" fillId="0" borderId="9" xfId="53" applyFont="1" applyBorder="1" applyAlignment="1">
      <alignment horizontal="center" vertical="center"/>
    </xf>
    <xf numFmtId="0" fontId="142" fillId="0" borderId="9" xfId="53" applyFont="1" applyBorder="1" applyAlignment="1">
      <alignment vertical="center"/>
    </xf>
    <xf numFmtId="0" fontId="35" fillId="0" borderId="9" xfId="53" applyFont="1" applyBorder="1" applyAlignment="1">
      <alignment vertical="center"/>
    </xf>
    <xf numFmtId="189" fontId="35" fillId="0" borderId="9" xfId="53" applyNumberFormat="1" applyFont="1" applyBorder="1" applyAlignment="1">
      <alignment horizontal="center" vertical="center"/>
    </xf>
    <xf numFmtId="227" fontId="35" fillId="0" borderId="9" xfId="53" applyNumberFormat="1" applyFont="1" applyBorder="1" applyAlignment="1">
      <alignment horizontal="center" vertical="center"/>
    </xf>
    <xf numFmtId="0" fontId="142" fillId="0" borderId="7" xfId="53" applyFont="1" applyBorder="1" applyAlignment="1">
      <alignment vertical="center"/>
    </xf>
    <xf numFmtId="189" fontId="35" fillId="0" borderId="7" xfId="53" applyNumberFormat="1" applyFont="1" applyBorder="1" applyAlignment="1">
      <alignment horizontal="center" vertical="center"/>
    </xf>
    <xf numFmtId="0" fontId="142" fillId="0" borderId="8" xfId="53" applyFont="1" applyBorder="1" applyAlignment="1">
      <alignment horizontal="center" vertical="center"/>
    </xf>
    <xf numFmtId="0" fontId="36" fillId="0" borderId="8" xfId="53" applyFont="1" applyBorder="1" applyAlignment="1">
      <alignment horizontal="center" vertical="center"/>
    </xf>
    <xf numFmtId="0" fontId="36" fillId="0" borderId="12" xfId="53" applyFont="1" applyBorder="1" applyAlignment="1">
      <alignment vertical="center"/>
    </xf>
    <xf numFmtId="0" fontId="36" fillId="0" borderId="13" xfId="53" applyFont="1" applyBorder="1" applyAlignment="1">
      <alignment horizontal="center" vertical="center"/>
    </xf>
    <xf numFmtId="189" fontId="36" fillId="0" borderId="13" xfId="53" applyNumberFormat="1" applyFont="1" applyBorder="1" applyAlignment="1">
      <alignment horizontal="center" vertical="center"/>
    </xf>
    <xf numFmtId="189" fontId="36" fillId="0" borderId="8" xfId="53" applyNumberFormat="1" applyFont="1" applyFill="1" applyBorder="1" applyAlignment="1">
      <alignment horizontal="center" vertical="center"/>
    </xf>
    <xf numFmtId="189" fontId="36" fillId="0" borderId="13" xfId="53" applyNumberFormat="1" applyFont="1" applyFill="1" applyBorder="1" applyAlignment="1">
      <alignment horizontal="center" vertical="center"/>
    </xf>
    <xf numFmtId="227" fontId="36" fillId="0" borderId="8" xfId="53" applyNumberFormat="1" applyFont="1" applyFill="1" applyBorder="1" applyAlignment="1">
      <alignment horizontal="center" vertical="center"/>
    </xf>
    <xf numFmtId="0" fontId="35" fillId="0" borderId="11" xfId="53" applyFont="1" applyBorder="1" applyAlignment="1">
      <alignment vertical="center"/>
    </xf>
    <xf numFmtId="0" fontId="35" fillId="0" borderId="13" xfId="53" applyFont="1" applyBorder="1" applyAlignment="1">
      <alignment vertical="center"/>
    </xf>
    <xf numFmtId="0" fontId="35" fillId="0" borderId="7" xfId="53" applyFont="1" applyFill="1" applyBorder="1" applyAlignment="1">
      <alignment horizontal="center" vertical="center"/>
    </xf>
    <xf numFmtId="0" fontId="35" fillId="0" borderId="7" xfId="53" applyFont="1" applyFill="1" applyBorder="1" applyAlignment="1">
      <alignment vertical="center"/>
    </xf>
    <xf numFmtId="189" fontId="35" fillId="0" borderId="7" xfId="53" applyNumberFormat="1" applyFont="1" applyFill="1" applyBorder="1" applyAlignment="1">
      <alignment horizontal="center" vertical="center"/>
    </xf>
    <xf numFmtId="227" fontId="35" fillId="0" borderId="7" xfId="53" applyNumberFormat="1" applyFont="1" applyFill="1" applyBorder="1" applyAlignment="1">
      <alignment horizontal="center" vertical="center"/>
    </xf>
    <xf numFmtId="0" fontId="35" fillId="7" borderId="0" xfId="53" applyFont="1" applyFill="1" applyAlignment="1">
      <alignment vertical="center"/>
    </xf>
    <xf numFmtId="0" fontId="35" fillId="0" borderId="8" xfId="53" applyFont="1" applyFill="1" applyBorder="1" applyAlignment="1">
      <alignment vertical="center"/>
    </xf>
    <xf numFmtId="189" fontId="35" fillId="0" borderId="8" xfId="53" applyNumberFormat="1" applyFont="1" applyFill="1" applyBorder="1" applyAlignment="1">
      <alignment horizontal="center" vertical="center"/>
    </xf>
    <xf numFmtId="227" fontId="35" fillId="0" borderId="8" xfId="53" applyNumberFormat="1" applyFont="1" applyFill="1" applyBorder="1" applyAlignment="1">
      <alignment horizontal="center" vertical="center"/>
    </xf>
    <xf numFmtId="0" fontId="35" fillId="0" borderId="8" xfId="53" applyNumberFormat="1" applyFont="1" applyFill="1" applyBorder="1" applyAlignment="1">
      <alignment horizontal="center" vertical="center"/>
    </xf>
    <xf numFmtId="0" fontId="35" fillId="0" borderId="8" xfId="53" applyNumberFormat="1" applyFont="1" applyFill="1" applyBorder="1" applyAlignment="1">
      <alignment vertical="center"/>
    </xf>
    <xf numFmtId="0" fontId="36" fillId="0" borderId="8" xfId="53" applyFont="1" applyFill="1" applyBorder="1" applyAlignment="1">
      <alignment horizontal="center" vertical="center"/>
    </xf>
    <xf numFmtId="43" fontId="142" fillId="0" borderId="8" xfId="26" applyFont="1" applyFill="1" applyBorder="1" applyAlignment="1">
      <alignment horizontal="center" vertical="center"/>
    </xf>
    <xf numFmtId="0" fontId="36" fillId="0" borderId="8" xfId="53" applyFont="1" applyFill="1" applyBorder="1" applyAlignment="1">
      <alignment vertical="center"/>
    </xf>
    <xf numFmtId="189" fontId="142" fillId="0" borderId="8" xfId="53" applyNumberFormat="1" applyFont="1" applyFill="1" applyBorder="1" applyAlignment="1">
      <alignment horizontal="center" vertical="center"/>
    </xf>
    <xf numFmtId="227" fontId="142" fillId="0" borderId="8" xfId="53" applyNumberFormat="1" applyFont="1" applyFill="1" applyBorder="1" applyAlignment="1">
      <alignment horizontal="center" vertical="center"/>
    </xf>
    <xf numFmtId="0" fontId="36" fillId="0" borderId="9" xfId="53" applyFont="1" applyBorder="1" applyAlignment="1">
      <alignment horizontal="center" vertical="center"/>
    </xf>
    <xf numFmtId="0" fontId="36" fillId="0" borderId="14" xfId="53" applyFont="1" applyBorder="1" applyAlignment="1">
      <alignment vertical="center"/>
    </xf>
    <xf numFmtId="0" fontId="36" fillId="0" borderId="15" xfId="53" applyFont="1" applyBorder="1" applyAlignment="1">
      <alignment horizontal="center" vertical="center"/>
    </xf>
    <xf numFmtId="189" fontId="36" fillId="0" borderId="15" xfId="53" applyNumberFormat="1" applyFont="1" applyBorder="1" applyAlignment="1">
      <alignment horizontal="center" vertical="center"/>
    </xf>
    <xf numFmtId="189" fontId="36" fillId="0" borderId="9" xfId="53" applyNumberFormat="1" applyFont="1" applyFill="1" applyBorder="1" applyAlignment="1">
      <alignment horizontal="center" vertical="center"/>
    </xf>
    <xf numFmtId="189" fontId="36" fillId="0" borderId="15" xfId="53" applyNumberFormat="1" applyFont="1" applyFill="1" applyBorder="1" applyAlignment="1">
      <alignment horizontal="center" vertical="center"/>
    </xf>
    <xf numFmtId="227" fontId="36" fillId="0" borderId="9" xfId="53" applyNumberFormat="1" applyFont="1" applyFill="1" applyBorder="1" applyAlignment="1">
      <alignment horizontal="center" vertical="center"/>
    </xf>
    <xf numFmtId="189" fontId="37" fillId="0" borderId="8" xfId="53" applyNumberFormat="1" applyFont="1" applyFill="1" applyBorder="1" applyAlignment="1">
      <alignment horizontal="center" vertical="center"/>
    </xf>
    <xf numFmtId="0" fontId="141" fillId="0" borderId="8" xfId="53" applyFont="1" applyFill="1" applyBorder="1" applyAlignment="1">
      <alignment horizontal="left" vertical="center"/>
    </xf>
    <xf numFmtId="0" fontId="141" fillId="0" borderId="8" xfId="53" applyFont="1" applyFill="1" applyBorder="1" applyAlignment="1">
      <alignment vertical="center"/>
    </xf>
    <xf numFmtId="0" fontId="35" fillId="0" borderId="9" xfId="53" applyFont="1" applyFill="1" applyBorder="1" applyAlignment="1">
      <alignment horizontal="center" vertical="center"/>
    </xf>
    <xf numFmtId="0" fontId="141" fillId="0" borderId="9" xfId="53" applyFont="1" applyFill="1" applyBorder="1" applyAlignment="1">
      <alignment vertical="center"/>
    </xf>
    <xf numFmtId="0" fontId="35" fillId="0" borderId="17" xfId="53" applyFont="1" applyBorder="1" applyAlignment="1">
      <alignment horizontal="center" vertical="center"/>
    </xf>
    <xf numFmtId="0" fontId="35" fillId="0" borderId="17" xfId="53" applyFont="1" applyBorder="1" applyAlignment="1">
      <alignment vertical="center"/>
    </xf>
    <xf numFmtId="189" fontId="35" fillId="0" borderId="17" xfId="53" applyNumberFormat="1" applyFont="1" applyBorder="1" applyAlignment="1">
      <alignment horizontal="center" vertical="center"/>
    </xf>
    <xf numFmtId="189" fontId="36" fillId="0" borderId="8" xfId="53" applyNumberFormat="1" applyFont="1" applyBorder="1" applyAlignment="1">
      <alignment horizontal="center" vertical="center"/>
    </xf>
    <xf numFmtId="0" fontId="36" fillId="0" borderId="8" xfId="53" applyFont="1" applyBorder="1" applyAlignment="1">
      <alignment vertical="center"/>
    </xf>
    <xf numFmtId="0" fontId="36" fillId="0" borderId="9" xfId="53" applyFont="1" applyBorder="1" applyAlignment="1">
      <alignment vertical="center"/>
    </xf>
    <xf numFmtId="189" fontId="36" fillId="0" borderId="7" xfId="53" applyNumberFormat="1" applyFont="1" applyBorder="1" applyAlignment="1">
      <alignment horizontal="center" vertical="center"/>
    </xf>
    <xf numFmtId="227" fontId="36" fillId="0" borderId="8" xfId="53" applyNumberFormat="1" applyFont="1" applyBorder="1" applyAlignment="1">
      <alignment horizontal="center" vertical="center"/>
    </xf>
    <xf numFmtId="0" fontId="42" fillId="0" borderId="0" xfId="0" applyFont="1" applyProtection="1"/>
    <xf numFmtId="0" fontId="42" fillId="0" borderId="0" xfId="0" applyFont="1" applyBorder="1" applyProtection="1"/>
    <xf numFmtId="0" fontId="42" fillId="0" borderId="18" xfId="0" applyFont="1" applyBorder="1" applyAlignment="1" applyProtection="1"/>
    <xf numFmtId="0" fontId="42" fillId="0" borderId="0" xfId="0" applyFont="1" applyAlignment="1" applyProtection="1">
      <alignment vertical="center"/>
    </xf>
    <xf numFmtId="0" fontId="44" fillId="0" borderId="19" xfId="0" applyFont="1" applyBorder="1" applyAlignment="1" applyProtection="1">
      <alignment horizontal="center" vertical="center"/>
    </xf>
    <xf numFmtId="0" fontId="44" fillId="0" borderId="20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vertical="center"/>
    </xf>
    <xf numFmtId="3" fontId="42" fillId="0" borderId="19" xfId="0" applyNumberFormat="1" applyFont="1" applyBorder="1" applyAlignment="1" applyProtection="1">
      <alignment vertical="center"/>
    </xf>
    <xf numFmtId="0" fontId="42" fillId="0" borderId="19" xfId="0" applyFont="1" applyBorder="1" applyAlignment="1" applyProtection="1">
      <alignment vertical="center"/>
    </xf>
    <xf numFmtId="0" fontId="42" fillId="0" borderId="21" xfId="0" applyFont="1" applyBorder="1" applyAlignment="1" applyProtection="1">
      <alignment vertical="center"/>
    </xf>
    <xf numFmtId="43" fontId="42" fillId="0" borderId="21" xfId="0" applyNumberFormat="1" applyFont="1" applyBorder="1" applyAlignment="1" applyProtection="1">
      <alignment vertical="center"/>
    </xf>
    <xf numFmtId="0" fontId="42" fillId="0" borderId="22" xfId="0" applyFont="1" applyBorder="1" applyAlignment="1" applyProtection="1">
      <alignment vertical="center"/>
    </xf>
    <xf numFmtId="0" fontId="42" fillId="0" borderId="20" xfId="0" applyFont="1" applyBorder="1" applyAlignment="1" applyProtection="1">
      <alignment vertical="center"/>
    </xf>
    <xf numFmtId="0" fontId="42" fillId="0" borderId="5" xfId="0" applyFont="1" applyBorder="1" applyAlignment="1" applyProtection="1">
      <alignment horizontal="center" vertical="center"/>
    </xf>
    <xf numFmtId="187" fontId="42" fillId="0" borderId="5" xfId="0" applyNumberFormat="1" applyFont="1" applyBorder="1" applyAlignment="1" applyProtection="1">
      <alignment vertical="center"/>
    </xf>
    <xf numFmtId="43" fontId="42" fillId="0" borderId="5" xfId="0" applyNumberFormat="1" applyFont="1" applyBorder="1" applyAlignment="1" applyProtection="1">
      <alignment vertical="center"/>
    </xf>
    <xf numFmtId="202" fontId="42" fillId="0" borderId="21" xfId="0" applyNumberFormat="1" applyFont="1" applyBorder="1" applyAlignment="1" applyProtection="1">
      <alignment vertical="center"/>
    </xf>
    <xf numFmtId="0" fontId="42" fillId="0" borderId="23" xfId="0" applyFont="1" applyBorder="1" applyAlignment="1" applyProtection="1">
      <alignment vertical="center"/>
    </xf>
    <xf numFmtId="0" fontId="45" fillId="0" borderId="5" xfId="0" applyFont="1" applyBorder="1" applyAlignment="1" applyProtection="1">
      <alignment horizontal="center" vertical="center"/>
    </xf>
    <xf numFmtId="0" fontId="45" fillId="0" borderId="0" xfId="0" applyFont="1" applyAlignment="1" applyProtection="1">
      <alignment vertical="center"/>
    </xf>
    <xf numFmtId="0" fontId="42" fillId="0" borderId="5" xfId="0" applyFont="1" applyBorder="1" applyAlignment="1" applyProtection="1">
      <alignment vertical="center"/>
    </xf>
    <xf numFmtId="43" fontId="42" fillId="0" borderId="0" xfId="0" applyNumberFormat="1" applyFont="1" applyAlignment="1" applyProtection="1">
      <alignment vertical="center"/>
    </xf>
    <xf numFmtId="0" fontId="45" fillId="0" borderId="5" xfId="0" applyFont="1" applyBorder="1" applyAlignment="1" applyProtection="1">
      <alignment vertical="center"/>
    </xf>
    <xf numFmtId="43" fontId="45" fillId="0" borderId="0" xfId="0" applyNumberFormat="1" applyFont="1" applyAlignment="1" applyProtection="1">
      <alignment vertical="center"/>
    </xf>
    <xf numFmtId="0" fontId="42" fillId="0" borderId="0" xfId="0" applyFont="1"/>
    <xf numFmtId="187" fontId="42" fillId="0" borderId="0" xfId="0" applyNumberFormat="1" applyFont="1"/>
    <xf numFmtId="43" fontId="42" fillId="0" borderId="0" xfId="0" applyNumberFormat="1" applyFont="1"/>
    <xf numFmtId="41" fontId="42" fillId="0" borderId="5" xfId="0" applyNumberFormat="1" applyFont="1" applyFill="1" applyBorder="1" applyAlignment="1" applyProtection="1">
      <alignment vertical="center"/>
    </xf>
    <xf numFmtId="0" fontId="45" fillId="0" borderId="0" xfId="0" applyFont="1" applyBorder="1" applyAlignment="1" applyProtection="1">
      <alignment vertical="center"/>
    </xf>
    <xf numFmtId="0" fontId="44" fillId="0" borderId="5" xfId="0" applyFont="1" applyBorder="1" applyAlignment="1" applyProtection="1">
      <alignment horizontal="center" vertical="center"/>
    </xf>
    <xf numFmtId="0" fontId="44" fillId="0" borderId="0" xfId="0" applyFont="1" applyBorder="1" applyAlignment="1" applyProtection="1">
      <alignment vertical="center"/>
    </xf>
    <xf numFmtId="0" fontId="42" fillId="0" borderId="0" xfId="0" applyFont="1" applyBorder="1" applyAlignment="1" applyProtection="1">
      <alignment horizontal="center" vertical="center"/>
    </xf>
    <xf numFmtId="187" fontId="42" fillId="0" borderId="23" xfId="0" applyNumberFormat="1" applyFont="1" applyBorder="1" applyAlignment="1" applyProtection="1">
      <alignment vertical="center"/>
    </xf>
    <xf numFmtId="0" fontId="42" fillId="0" borderId="0" xfId="0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42" fillId="0" borderId="21" xfId="0" applyFont="1" applyBorder="1" applyAlignment="1" applyProtection="1">
      <alignment horizontal="center" vertical="center"/>
    </xf>
    <xf numFmtId="41" fontId="42" fillId="0" borderId="5" xfId="0" applyNumberFormat="1" applyFont="1" applyBorder="1" applyAlignment="1" applyProtection="1">
      <alignment vertical="center"/>
    </xf>
    <xf numFmtId="0" fontId="44" fillId="0" borderId="5" xfId="0" applyFont="1" applyBorder="1" applyAlignment="1" applyProtection="1">
      <alignment vertical="center"/>
    </xf>
    <xf numFmtId="41" fontId="42" fillId="0" borderId="5" xfId="0" applyNumberFormat="1" applyFont="1" applyFill="1" applyBorder="1" applyAlignment="1" applyProtection="1">
      <alignment horizontal="right" vertical="center"/>
    </xf>
    <xf numFmtId="43" fontId="42" fillId="0" borderId="5" xfId="0" applyNumberFormat="1" applyFont="1" applyFill="1" applyBorder="1" applyAlignment="1" applyProtection="1">
      <alignment vertical="center"/>
    </xf>
    <xf numFmtId="39" fontId="42" fillId="0" borderId="0" xfId="0" applyNumberFormat="1" applyFont="1" applyFill="1" applyBorder="1" applyAlignment="1" applyProtection="1">
      <alignment horizontal="left" vertical="center"/>
    </xf>
    <xf numFmtId="0" fontId="42" fillId="0" borderId="10" xfId="0" applyFont="1" applyBorder="1" applyAlignment="1" applyProtection="1">
      <alignment vertical="center"/>
    </xf>
    <xf numFmtId="0" fontId="42" fillId="0" borderId="24" xfId="0" applyFont="1" applyBorder="1" applyAlignment="1" applyProtection="1">
      <alignment vertical="center"/>
    </xf>
    <xf numFmtId="0" fontId="44" fillId="0" borderId="5" xfId="0" applyFont="1" applyFill="1" applyBorder="1" applyAlignment="1" applyProtection="1">
      <alignment horizontal="center" vertical="center"/>
    </xf>
    <xf numFmtId="0" fontId="44" fillId="0" borderId="20" xfId="0" applyFont="1" applyBorder="1" applyAlignment="1" applyProtection="1">
      <alignment horizontal="left" vertical="center"/>
    </xf>
    <xf numFmtId="39" fontId="42" fillId="0" borderId="0" xfId="0" applyNumberFormat="1" applyFont="1" applyFill="1" applyBorder="1" applyAlignment="1" applyProtection="1">
      <alignment horizontal="center" vertical="center"/>
    </xf>
    <xf numFmtId="43" fontId="55" fillId="0" borderId="5" xfId="0" applyNumberFormat="1" applyFont="1" applyBorder="1" applyAlignment="1" applyProtection="1">
      <alignment vertical="center"/>
    </xf>
    <xf numFmtId="4" fontId="143" fillId="0" borderId="22" xfId="0" applyNumberFormat="1" applyFont="1" applyBorder="1" applyAlignment="1" applyProtection="1">
      <alignment vertical="center"/>
    </xf>
    <xf numFmtId="4" fontId="143" fillId="0" borderId="20" xfId="0" applyNumberFormat="1" applyFont="1" applyBorder="1" applyAlignment="1" applyProtection="1">
      <alignment vertical="center"/>
    </xf>
    <xf numFmtId="0" fontId="42" fillId="0" borderId="19" xfId="0" applyFont="1" applyBorder="1" applyAlignment="1" applyProtection="1">
      <alignment horizontal="center" vertical="center"/>
    </xf>
    <xf numFmtId="0" fontId="49" fillId="0" borderId="0" xfId="0" applyFont="1" applyFill="1" applyAlignment="1" applyProtection="1">
      <alignment horizontal="left" vertical="center"/>
    </xf>
    <xf numFmtId="39" fontId="44" fillId="0" borderId="0" xfId="0" applyNumberFormat="1" applyFont="1" applyBorder="1" applyAlignment="1" applyProtection="1">
      <alignment horizontal="left" vertical="center"/>
    </xf>
    <xf numFmtId="224" fontId="42" fillId="0" borderId="0" xfId="0" applyNumberFormat="1" applyFont="1" applyFill="1" applyBorder="1" applyAlignment="1" applyProtection="1">
      <alignment horizontal="right"/>
    </xf>
    <xf numFmtId="39" fontId="42" fillId="0" borderId="23" xfId="0" applyNumberFormat="1" applyFont="1" applyFill="1" applyBorder="1" applyAlignment="1" applyProtection="1">
      <alignment horizontal="left" vertical="center"/>
    </xf>
    <xf numFmtId="0" fontId="42" fillId="0" borderId="21" xfId="0" applyFont="1" applyBorder="1" applyAlignment="1" applyProtection="1">
      <alignment horizontal="center"/>
    </xf>
    <xf numFmtId="43" fontId="42" fillId="0" borderId="5" xfId="0" applyNumberFormat="1" applyFont="1" applyBorder="1" applyProtection="1"/>
    <xf numFmtId="0" fontId="49" fillId="0" borderId="0" xfId="0" applyFont="1" applyFill="1" applyBorder="1" applyAlignment="1" applyProtection="1">
      <alignment vertical="center"/>
    </xf>
    <xf numFmtId="0" fontId="42" fillId="0" borderId="21" xfId="0" applyFont="1" applyBorder="1" applyProtection="1"/>
    <xf numFmtId="0" fontId="49" fillId="0" borderId="0" xfId="0" applyFont="1" applyFill="1" applyAlignment="1" applyProtection="1">
      <alignment vertical="center"/>
    </xf>
    <xf numFmtId="0" fontId="42" fillId="0" borderId="25" xfId="0" applyFont="1" applyBorder="1" applyAlignment="1" applyProtection="1">
      <alignment vertical="center"/>
    </xf>
    <xf numFmtId="0" fontId="42" fillId="0" borderId="26" xfId="0" applyFont="1" applyBorder="1" applyAlignment="1" applyProtection="1">
      <alignment vertical="center"/>
    </xf>
    <xf numFmtId="4" fontId="42" fillId="0" borderId="0" xfId="0" applyNumberFormat="1" applyFont="1" applyBorder="1" applyAlignment="1" applyProtection="1">
      <alignment vertical="center"/>
    </xf>
    <xf numFmtId="4" fontId="42" fillId="0" borderId="0" xfId="55" applyFont="1" applyAlignment="1" applyProtection="1">
      <alignment vertical="center"/>
    </xf>
    <xf numFmtId="4" fontId="42" fillId="0" borderId="0" xfId="55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locked="0"/>
    </xf>
    <xf numFmtId="4" fontId="42" fillId="0" borderId="0" xfId="55" applyFont="1" applyAlignment="1" applyProtection="1">
      <alignment horizontal="center"/>
      <protection locked="0"/>
    </xf>
    <xf numFmtId="4" fontId="42" fillId="0" borderId="0" xfId="55" applyFont="1" applyProtection="1"/>
    <xf numFmtId="0" fontId="42" fillId="0" borderId="0" xfId="0" applyFont="1" applyAlignment="1" applyProtection="1"/>
    <xf numFmtId="3" fontId="42" fillId="0" borderId="0" xfId="0" applyNumberFormat="1" applyFont="1" applyProtection="1"/>
    <xf numFmtId="3" fontId="42" fillId="0" borderId="0" xfId="0" applyNumberFormat="1" applyFont="1" applyAlignment="1" applyProtection="1">
      <alignment horizontal="center"/>
    </xf>
    <xf numFmtId="0" fontId="42" fillId="0" borderId="0" xfId="0" applyFont="1" applyFill="1" applyProtection="1"/>
    <xf numFmtId="0" fontId="57" fillId="0" borderId="0" xfId="0" applyFont="1" applyBorder="1" applyProtection="1"/>
    <xf numFmtId="0" fontId="57" fillId="0" borderId="0" xfId="0" applyFont="1" applyFill="1" applyBorder="1" applyAlignment="1" applyProtection="1">
      <alignment horizontal="center"/>
    </xf>
    <xf numFmtId="0" fontId="58" fillId="0" borderId="0" xfId="0" applyFont="1" applyFill="1" applyBorder="1" applyAlignment="1" applyProtection="1">
      <alignment horizontal="center"/>
    </xf>
    <xf numFmtId="0" fontId="42" fillId="0" borderId="19" xfId="0" applyFont="1" applyBorder="1" applyAlignment="1" applyProtection="1">
      <alignment horizontal="center"/>
    </xf>
    <xf numFmtId="0" fontId="42" fillId="0" borderId="22" xfId="0" applyFont="1" applyBorder="1" applyProtection="1"/>
    <xf numFmtId="0" fontId="42" fillId="0" borderId="24" xfId="0" applyFont="1" applyBorder="1" applyProtection="1"/>
    <xf numFmtId="43" fontId="42" fillId="0" borderId="24" xfId="24" applyFont="1" applyBorder="1" applyAlignment="1" applyProtection="1"/>
    <xf numFmtId="190" fontId="44" fillId="0" borderId="20" xfId="54" applyNumberFormat="1" applyFont="1" applyBorder="1" applyAlignment="1" applyProtection="1">
      <alignment horizontal="center"/>
    </xf>
    <xf numFmtId="43" fontId="42" fillId="0" borderId="19" xfId="24" applyNumberFormat="1" applyFont="1" applyBorder="1" applyAlignment="1" applyProtection="1">
      <alignment horizontal="right"/>
    </xf>
    <xf numFmtId="3" fontId="42" fillId="0" borderId="22" xfId="0" applyNumberFormat="1" applyFont="1" applyBorder="1" applyProtection="1"/>
    <xf numFmtId="0" fontId="42" fillId="0" borderId="20" xfId="0" applyFont="1" applyBorder="1" applyProtection="1"/>
    <xf numFmtId="0" fontId="42" fillId="0" borderId="5" xfId="0" applyFont="1" applyBorder="1" applyAlignment="1" applyProtection="1">
      <alignment horizontal="center"/>
    </xf>
    <xf numFmtId="0" fontId="42" fillId="0" borderId="21" xfId="0" applyFont="1" applyBorder="1" applyAlignment="1" applyProtection="1"/>
    <xf numFmtId="43" fontId="42" fillId="0" borderId="0" xfId="24" applyFont="1" applyBorder="1" applyAlignment="1" applyProtection="1"/>
    <xf numFmtId="202" fontId="44" fillId="0" borderId="23" xfId="24" applyNumberFormat="1" applyFont="1" applyBorder="1" applyAlignment="1" applyProtection="1">
      <alignment horizontal="center"/>
    </xf>
    <xf numFmtId="43" fontId="42" fillId="0" borderId="5" xfId="24" applyFont="1" applyBorder="1" applyAlignment="1" applyProtection="1">
      <alignment horizontal="right"/>
    </xf>
    <xf numFmtId="3" fontId="42" fillId="0" borderId="21" xfId="0" applyNumberFormat="1" applyFont="1" applyBorder="1" applyProtection="1"/>
    <xf numFmtId="195" fontId="42" fillId="0" borderId="23" xfId="0" applyNumberFormat="1" applyFont="1" applyFill="1" applyBorder="1" applyProtection="1"/>
    <xf numFmtId="43" fontId="34" fillId="0" borderId="4" xfId="0" applyNumberFormat="1" applyFont="1" applyBorder="1"/>
    <xf numFmtId="0" fontId="144" fillId="23" borderId="5" xfId="0" applyFont="1" applyFill="1" applyBorder="1" applyAlignment="1" applyProtection="1">
      <alignment horizontal="center"/>
    </xf>
    <xf numFmtId="0" fontId="42" fillId="0" borderId="23" xfId="0" applyFont="1" applyBorder="1" applyProtection="1"/>
    <xf numFmtId="43" fontId="42" fillId="0" borderId="5" xfId="24" applyFont="1" applyBorder="1" applyAlignment="1" applyProtection="1">
      <alignment horizontal="center"/>
    </xf>
    <xf numFmtId="0" fontId="42" fillId="0" borderId="10" xfId="0" applyFont="1" applyBorder="1" applyProtection="1"/>
    <xf numFmtId="0" fontId="42" fillId="0" borderId="25" xfId="0" applyFont="1" applyBorder="1" applyProtection="1"/>
    <xf numFmtId="0" fontId="42" fillId="0" borderId="18" xfId="0" applyFont="1" applyBorder="1" applyProtection="1"/>
    <xf numFmtId="0" fontId="42" fillId="0" borderId="26" xfId="0" applyFont="1" applyBorder="1" applyProtection="1"/>
    <xf numFmtId="43" fontId="42" fillId="0" borderId="10" xfId="24" applyFont="1" applyBorder="1" applyAlignment="1" applyProtection="1">
      <alignment horizontal="center"/>
    </xf>
    <xf numFmtId="3" fontId="42" fillId="0" borderId="25" xfId="0" applyNumberFormat="1" applyFont="1" applyBorder="1" applyProtection="1"/>
    <xf numFmtId="39" fontId="145" fillId="0" borderId="18" xfId="0" applyNumberFormat="1" applyFont="1" applyFill="1" applyBorder="1" applyAlignment="1" applyProtection="1">
      <alignment horizontal="center"/>
    </xf>
    <xf numFmtId="43" fontId="42" fillId="0" borderId="10" xfId="24" applyFont="1" applyBorder="1" applyAlignment="1" applyProtection="1">
      <alignment horizontal="right"/>
    </xf>
    <xf numFmtId="43" fontId="59" fillId="24" borderId="4" xfId="24" applyFont="1" applyFill="1" applyBorder="1" applyProtection="1"/>
    <xf numFmtId="43" fontId="42" fillId="0" borderId="0" xfId="0" applyNumberFormat="1" applyFont="1" applyProtection="1"/>
    <xf numFmtId="0" fontId="44" fillId="0" borderId="18" xfId="0" applyFont="1" applyBorder="1" applyProtection="1"/>
    <xf numFmtId="3" fontId="42" fillId="0" borderId="27" xfId="0" applyNumberFormat="1" applyFont="1" applyBorder="1" applyAlignment="1" applyProtection="1">
      <alignment horizontal="center"/>
    </xf>
    <xf numFmtId="3" fontId="42" fillId="0" borderId="18" xfId="0" applyNumberFormat="1" applyFont="1" applyBorder="1" applyProtection="1"/>
    <xf numFmtId="4" fontId="42" fillId="0" borderId="0" xfId="0" applyNumberFormat="1" applyFont="1" applyAlignment="1" applyProtection="1">
      <alignment horizontal="center"/>
    </xf>
    <xf numFmtId="4" fontId="44" fillId="0" borderId="0" xfId="55" applyFont="1" applyProtection="1"/>
    <xf numFmtId="189" fontId="42" fillId="0" borderId="0" xfId="0" applyNumberFormat="1" applyFont="1" applyFill="1" applyAlignment="1" applyProtection="1">
      <alignment vertical="center"/>
    </xf>
    <xf numFmtId="4" fontId="42" fillId="0" borderId="0" xfId="55" applyFont="1" applyAlignment="1" applyProtection="1">
      <alignment horizontal="left"/>
    </xf>
    <xf numFmtId="189" fontId="42" fillId="0" borderId="0" xfId="0" applyNumberFormat="1" applyFont="1" applyFill="1" applyAlignment="1" applyProtection="1"/>
    <xf numFmtId="189" fontId="42" fillId="0" borderId="0" xfId="0" applyNumberFormat="1" applyFont="1" applyFill="1" applyAlignment="1" applyProtection="1">
      <alignment horizontal="left"/>
    </xf>
    <xf numFmtId="4" fontId="42" fillId="0" borderId="0" xfId="55" applyFont="1" applyAlignment="1" applyProtection="1"/>
    <xf numFmtId="4" fontId="42" fillId="0" borderId="0" xfId="55" applyFont="1" applyAlignment="1" applyProtection="1">
      <alignment horizontal="right"/>
      <protection locked="0"/>
    </xf>
    <xf numFmtId="0" fontId="42" fillId="25" borderId="0" xfId="0" applyFont="1" applyFill="1" applyBorder="1" applyAlignment="1" applyProtection="1">
      <alignment vertical="center"/>
    </xf>
    <xf numFmtId="0" fontId="42" fillId="25" borderId="36" xfId="0" applyFont="1" applyFill="1" applyBorder="1" applyAlignment="1" applyProtection="1">
      <alignment horizontal="center" vertical="center"/>
    </xf>
    <xf numFmtId="0" fontId="42" fillId="25" borderId="37" xfId="0" applyFont="1" applyFill="1" applyBorder="1" applyAlignment="1" applyProtection="1">
      <alignment vertical="center"/>
    </xf>
    <xf numFmtId="0" fontId="42" fillId="25" borderId="38" xfId="0" applyFont="1" applyFill="1" applyBorder="1" applyAlignment="1" applyProtection="1">
      <alignment vertical="center"/>
    </xf>
    <xf numFmtId="0" fontId="42" fillId="25" borderId="37" xfId="0" applyFont="1" applyFill="1" applyBorder="1" applyAlignment="1" applyProtection="1">
      <alignment horizontal="center" vertical="center"/>
    </xf>
    <xf numFmtId="0" fontId="42" fillId="25" borderId="38" xfId="0" applyFont="1" applyFill="1" applyBorder="1" applyAlignment="1" applyProtection="1">
      <alignment horizontal="center" vertical="center"/>
    </xf>
    <xf numFmtId="39" fontId="49" fillId="0" borderId="0" xfId="0" applyNumberFormat="1" applyFont="1" applyFill="1" applyBorder="1" applyAlignment="1" applyProtection="1">
      <alignment horizontal="left" vertical="center"/>
    </xf>
    <xf numFmtId="0" fontId="42" fillId="0" borderId="0" xfId="51" applyFont="1"/>
    <xf numFmtId="0" fontId="49" fillId="0" borderId="0" xfId="51" applyFont="1" applyAlignment="1">
      <alignment vertical="center"/>
    </xf>
    <xf numFmtId="0" fontId="42" fillId="0" borderId="0" xfId="51" applyFont="1" applyAlignment="1">
      <alignment vertical="center"/>
    </xf>
    <xf numFmtId="0" fontId="42" fillId="0" borderId="0" xfId="51" applyFont="1" applyFill="1" applyAlignment="1">
      <alignment vertical="center"/>
    </xf>
    <xf numFmtId="0" fontId="44" fillId="26" borderId="19" xfId="51" applyFont="1" applyFill="1" applyBorder="1" applyAlignment="1" applyProtection="1">
      <alignment horizontal="center" vertical="center"/>
    </xf>
    <xf numFmtId="0" fontId="44" fillId="26" borderId="10" xfId="51" applyFont="1" applyFill="1" applyBorder="1" applyAlignment="1" applyProtection="1">
      <alignment horizontal="center"/>
    </xf>
    <xf numFmtId="0" fontId="44" fillId="26" borderId="10" xfId="51" applyFont="1" applyFill="1" applyBorder="1" applyAlignment="1" applyProtection="1">
      <alignment horizontal="center" vertical="center"/>
    </xf>
    <xf numFmtId="199" fontId="45" fillId="9" borderId="4" xfId="51" applyNumberFormat="1" applyFont="1" applyFill="1" applyBorder="1" applyAlignment="1" applyProtection="1">
      <alignment horizontal="center" vertical="justify"/>
    </xf>
    <xf numFmtId="2" fontId="45" fillId="9" borderId="4" xfId="51" applyNumberFormat="1" applyFont="1" applyFill="1" applyBorder="1" applyAlignment="1" applyProtection="1">
      <alignment horizontal="center" vertical="justify"/>
    </xf>
    <xf numFmtId="43" fontId="42" fillId="0" borderId="4" xfId="24" applyNumberFormat="1" applyFont="1" applyBorder="1" applyAlignment="1" applyProtection="1">
      <alignment horizontal="center" vertical="justify"/>
    </xf>
    <xf numFmtId="43" fontId="45" fillId="9" borderId="4" xfId="24" applyNumberFormat="1" applyFont="1" applyFill="1" applyBorder="1" applyAlignment="1" applyProtection="1">
      <alignment horizontal="center" vertical="justify"/>
    </xf>
    <xf numFmtId="43" fontId="41" fillId="0" borderId="4" xfId="24" applyNumberFormat="1" applyFont="1" applyBorder="1" applyAlignment="1" applyProtection="1">
      <alignment horizontal="center" vertical="justify"/>
    </xf>
    <xf numFmtId="2" fontId="45" fillId="27" borderId="40" xfId="51" applyNumberFormat="1" applyFont="1" applyFill="1" applyBorder="1" applyAlignment="1" applyProtection="1">
      <alignment horizontal="center" vertical="justify"/>
    </xf>
    <xf numFmtId="43" fontId="42" fillId="27" borderId="40" xfId="24" applyFont="1" applyFill="1" applyBorder="1" applyAlignment="1" applyProtection="1">
      <alignment horizontal="center" vertical="justify"/>
    </xf>
    <xf numFmtId="0" fontId="64" fillId="0" borderId="0" xfId="51" applyFont="1"/>
    <xf numFmtId="0" fontId="49" fillId="0" borderId="0" xfId="51" applyFont="1" applyAlignment="1" applyProtection="1">
      <alignment vertical="center"/>
    </xf>
    <xf numFmtId="43" fontId="146" fillId="26" borderId="10" xfId="24" applyNumberFormat="1" applyFont="1" applyFill="1" applyBorder="1" applyAlignment="1" applyProtection="1">
      <alignment vertical="center"/>
    </xf>
    <xf numFmtId="43" fontId="42" fillId="0" borderId="10" xfId="24" applyNumberFormat="1" applyFont="1" applyBorder="1" applyAlignment="1" applyProtection="1">
      <alignment vertical="center"/>
    </xf>
    <xf numFmtId="43" fontId="41" fillId="26" borderId="10" xfId="51" applyNumberFormat="1" applyFont="1" applyFill="1" applyBorder="1" applyAlignment="1" applyProtection="1">
      <alignment vertical="center"/>
    </xf>
    <xf numFmtId="0" fontId="42" fillId="0" borderId="0" xfId="51" applyFont="1" applyFill="1"/>
    <xf numFmtId="43" fontId="42" fillId="0" borderId="0" xfId="24" applyFont="1" applyBorder="1" applyAlignment="1" applyProtection="1">
      <alignment vertical="justify"/>
    </xf>
    <xf numFmtId="0" fontId="47" fillId="0" borderId="0" xfId="51" applyFont="1"/>
    <xf numFmtId="0" fontId="47" fillId="0" borderId="0" xfId="51" applyFont="1" applyAlignment="1">
      <alignment horizontal="center"/>
    </xf>
    <xf numFmtId="0" fontId="65" fillId="0" borderId="0" xfId="51" applyFont="1" applyAlignment="1">
      <alignment horizontal="center"/>
    </xf>
    <xf numFmtId="3" fontId="49" fillId="0" borderId="0" xfId="51" applyNumberFormat="1" applyFont="1" applyBorder="1" applyAlignment="1" applyProtection="1">
      <alignment horizontal="center" vertical="center"/>
    </xf>
    <xf numFmtId="0" fontId="147" fillId="28" borderId="19" xfId="51" applyFont="1" applyFill="1" applyBorder="1" applyAlignment="1" applyProtection="1">
      <alignment horizontal="center" vertical="center"/>
    </xf>
    <xf numFmtId="189" fontId="47" fillId="0" borderId="0" xfId="51" applyNumberFormat="1" applyFont="1"/>
    <xf numFmtId="0" fontId="147" fillId="28" borderId="10" xfId="51" applyFont="1" applyFill="1" applyBorder="1" applyAlignment="1" applyProtection="1">
      <alignment horizontal="center"/>
    </xf>
    <xf numFmtId="0" fontId="147" fillId="28" borderId="10" xfId="51" applyFont="1" applyFill="1" applyBorder="1" applyAlignment="1" applyProtection="1">
      <alignment horizontal="center" vertical="center"/>
    </xf>
    <xf numFmtId="2" fontId="45" fillId="9" borderId="4" xfId="0" applyNumberFormat="1" applyFont="1" applyFill="1" applyBorder="1" applyAlignment="1" applyProtection="1">
      <alignment horizontal="center" vertical="justify"/>
    </xf>
    <xf numFmtId="43" fontId="42" fillId="0" borderId="4" xfId="24" applyFont="1" applyBorder="1" applyAlignment="1" applyProtection="1">
      <alignment vertical="justify"/>
    </xf>
    <xf numFmtId="187" fontId="47" fillId="0" borderId="0" xfId="51" applyNumberFormat="1" applyFont="1"/>
    <xf numFmtId="199" fontId="45" fillId="9" borderId="4" xfId="0" applyNumberFormat="1" applyFont="1" applyFill="1" applyBorder="1" applyAlignment="1" applyProtection="1">
      <alignment horizontal="center" vertical="justify"/>
    </xf>
    <xf numFmtId="43" fontId="147" fillId="28" borderId="4" xfId="24" applyFont="1" applyFill="1" applyBorder="1" applyAlignment="1" applyProtection="1">
      <alignment vertical="center"/>
    </xf>
    <xf numFmtId="43" fontId="42" fillId="0" borderId="4" xfId="24" applyNumberFormat="1" applyFont="1" applyBorder="1" applyAlignment="1" applyProtection="1">
      <alignment vertical="center"/>
    </xf>
    <xf numFmtId="0" fontId="42" fillId="0" borderId="19" xfId="0" applyFont="1" applyBorder="1"/>
    <xf numFmtId="0" fontId="44" fillId="29" borderId="19" xfId="51" applyFont="1" applyFill="1" applyBorder="1" applyAlignment="1" applyProtection="1">
      <alignment horizontal="center" vertical="center"/>
    </xf>
    <xf numFmtId="0" fontId="44" fillId="29" borderId="10" xfId="51" applyFont="1" applyFill="1" applyBorder="1" applyAlignment="1" applyProtection="1">
      <alignment horizontal="center"/>
    </xf>
    <xf numFmtId="0" fontId="44" fillId="29" borderId="10" xfId="51" applyFont="1" applyFill="1" applyBorder="1" applyAlignment="1" applyProtection="1">
      <alignment horizontal="center" vertical="center"/>
    </xf>
    <xf numFmtId="0" fontId="42" fillId="0" borderId="0" xfId="51" applyFont="1" applyFill="1" applyBorder="1"/>
    <xf numFmtId="43" fontId="41" fillId="29" borderId="4" xfId="24" applyFont="1" applyFill="1" applyBorder="1" applyAlignment="1" applyProtection="1">
      <alignment vertical="center"/>
    </xf>
    <xf numFmtId="0" fontId="44" fillId="30" borderId="4" xfId="51" applyFont="1" applyFill="1" applyBorder="1" applyAlignment="1" applyProtection="1">
      <alignment horizontal="center" vertical="center"/>
    </xf>
    <xf numFmtId="0" fontId="44" fillId="29" borderId="19" xfId="51" applyFont="1" applyFill="1" applyBorder="1" applyAlignment="1" applyProtection="1">
      <alignment horizontal="center" vertical="center" wrapText="1"/>
    </xf>
    <xf numFmtId="0" fontId="44" fillId="29" borderId="10" xfId="51" applyFont="1" applyFill="1" applyBorder="1" applyAlignment="1" applyProtection="1">
      <alignment horizontal="center" vertical="center" wrapText="1"/>
    </xf>
    <xf numFmtId="2" fontId="45" fillId="9" borderId="4" xfId="24" applyNumberFormat="1" applyFont="1" applyFill="1" applyBorder="1" applyAlignment="1" applyProtection="1">
      <alignment horizontal="center" vertical="justify"/>
    </xf>
    <xf numFmtId="4" fontId="45" fillId="9" borderId="4" xfId="0" applyNumberFormat="1" applyFont="1" applyFill="1" applyBorder="1" applyAlignment="1" applyProtection="1">
      <alignment horizontal="center" vertical="justify"/>
    </xf>
    <xf numFmtId="43" fontId="42" fillId="0" borderId="4" xfId="24" applyFont="1" applyBorder="1" applyAlignment="1" applyProtection="1">
      <alignment horizontal="center" vertical="justify"/>
    </xf>
    <xf numFmtId="0" fontId="42" fillId="0" borderId="4" xfId="51" applyFont="1" applyBorder="1" applyAlignment="1">
      <alignment horizontal="center"/>
    </xf>
    <xf numFmtId="0" fontId="42" fillId="0" borderId="4" xfId="51" applyFont="1" applyBorder="1"/>
    <xf numFmtId="43" fontId="42" fillId="0" borderId="0" xfId="24" applyFont="1" applyBorder="1" applyAlignment="1">
      <alignment horizontal="center"/>
    </xf>
    <xf numFmtId="2" fontId="42" fillId="0" borderId="0" xfId="51" applyNumberFormat="1" applyFont="1"/>
    <xf numFmtId="4" fontId="42" fillId="0" borderId="4" xfId="51" applyNumberFormat="1" applyFont="1" applyBorder="1" applyAlignment="1">
      <alignment horizontal="center"/>
    </xf>
    <xf numFmtId="0" fontId="44" fillId="12" borderId="4" xfId="51" applyFont="1" applyFill="1" applyBorder="1" applyAlignment="1">
      <alignment horizontal="center"/>
    </xf>
    <xf numFmtId="199" fontId="43" fillId="9" borderId="4" xfId="51" applyNumberFormat="1" applyFont="1" applyFill="1" applyBorder="1" applyAlignment="1" applyProtection="1">
      <alignment horizontal="center" vertical="justify"/>
    </xf>
    <xf numFmtId="43" fontId="42" fillId="0" borderId="4" xfId="24" applyFont="1" applyBorder="1" applyAlignment="1">
      <alignment horizontal="center"/>
    </xf>
    <xf numFmtId="0" fontId="43" fillId="9" borderId="4" xfId="51" applyFont="1" applyFill="1" applyBorder="1" applyAlignment="1">
      <alignment horizontal="center"/>
    </xf>
    <xf numFmtId="206" fontId="43" fillId="9" borderId="4" xfId="51" applyNumberFormat="1" applyFont="1" applyFill="1" applyBorder="1" applyAlignment="1">
      <alignment horizontal="center"/>
    </xf>
    <xf numFmtId="43" fontId="42" fillId="0" borderId="10" xfId="51" applyNumberFormat="1" applyFont="1" applyBorder="1"/>
    <xf numFmtId="0" fontId="42" fillId="0" borderId="0" xfId="0" applyFont="1" applyAlignment="1">
      <alignment horizontal="right"/>
    </xf>
    <xf numFmtId="0" fontId="42" fillId="0" borderId="0" xfId="0" applyFont="1" applyAlignment="1"/>
    <xf numFmtId="0" fontId="42" fillId="0" borderId="0" xfId="0" applyFont="1" applyAlignment="1">
      <alignment horizontal="right" vertical="center"/>
    </xf>
    <xf numFmtId="0" fontId="67" fillId="12" borderId="19" xfId="51" applyFont="1" applyFill="1" applyBorder="1" applyAlignment="1">
      <alignment horizontal="center"/>
    </xf>
    <xf numFmtId="0" fontId="66" fillId="12" borderId="19" xfId="51" applyFont="1" applyFill="1" applyBorder="1" applyAlignment="1">
      <alignment horizontal="center"/>
    </xf>
    <xf numFmtId="0" fontId="66" fillId="12" borderId="41" xfId="51" applyFont="1" applyFill="1" applyBorder="1" applyAlignment="1">
      <alignment horizontal="center"/>
    </xf>
    <xf numFmtId="0" fontId="66" fillId="12" borderId="10" xfId="51" applyFont="1" applyFill="1" applyBorder="1" applyAlignment="1">
      <alignment horizontal="center"/>
    </xf>
    <xf numFmtId="0" fontId="66" fillId="12" borderId="4" xfId="51" applyFont="1" applyFill="1" applyBorder="1" applyAlignment="1">
      <alignment horizontal="center"/>
    </xf>
    <xf numFmtId="2" fontId="148" fillId="31" borderId="4" xfId="51" applyNumberFormat="1" applyFont="1" applyFill="1" applyBorder="1" applyAlignment="1">
      <alignment horizontal="center"/>
    </xf>
    <xf numFmtId="2" fontId="69" fillId="9" borderId="4" xfId="51" applyNumberFormat="1" applyFont="1" applyFill="1" applyBorder="1" applyAlignment="1">
      <alignment horizontal="center"/>
    </xf>
    <xf numFmtId="189" fontId="70" fillId="0" borderId="4" xfId="51" applyNumberFormat="1" applyFont="1" applyFill="1" applyBorder="1" applyAlignment="1">
      <alignment horizontal="center"/>
    </xf>
    <xf numFmtId="189" fontId="70" fillId="0" borderId="4" xfId="51" applyNumberFormat="1" applyFont="1" applyBorder="1" applyAlignment="1">
      <alignment horizontal="center"/>
    </xf>
    <xf numFmtId="189" fontId="70" fillId="0" borderId="41" xfId="51" applyNumberFormat="1" applyFont="1" applyBorder="1" applyAlignment="1">
      <alignment horizontal="center"/>
    </xf>
    <xf numFmtId="0" fontId="70" fillId="0" borderId="4" xfId="51" applyFont="1" applyBorder="1" applyAlignment="1">
      <alignment horizontal="center"/>
    </xf>
    <xf numFmtId="2" fontId="70" fillId="0" borderId="4" xfId="51" applyNumberFormat="1" applyFont="1" applyBorder="1" applyAlignment="1">
      <alignment horizontal="center"/>
    </xf>
    <xf numFmtId="0" fontId="71" fillId="0" borderId="4" xfId="51" applyFont="1" applyBorder="1" applyAlignment="1">
      <alignment horizontal="center"/>
    </xf>
    <xf numFmtId="199" fontId="69" fillId="9" borderId="1" xfId="51" applyNumberFormat="1" applyFont="1" applyFill="1" applyBorder="1" applyAlignment="1"/>
    <xf numFmtId="0" fontId="47" fillId="0" borderId="3" xfId="51" applyFont="1" applyBorder="1" applyAlignment="1">
      <alignment horizontal="center"/>
    </xf>
    <xf numFmtId="199" fontId="69" fillId="9" borderId="41" xfId="51" applyNumberFormat="1" applyFont="1" applyFill="1" applyBorder="1" applyAlignment="1">
      <alignment horizontal="center"/>
    </xf>
    <xf numFmtId="2" fontId="71" fillId="0" borderId="4" xfId="51" applyNumberFormat="1" applyFont="1" applyBorder="1" applyAlignment="1">
      <alignment horizontal="center"/>
    </xf>
    <xf numFmtId="0" fontId="71" fillId="0" borderId="3" xfId="51" applyFont="1" applyBorder="1" applyAlignment="1">
      <alignment horizontal="center"/>
    </xf>
    <xf numFmtId="199" fontId="36" fillId="9" borderId="41" xfId="51" applyNumberFormat="1" applyFont="1" applyFill="1" applyBorder="1" applyAlignment="1">
      <alignment horizontal="center"/>
    </xf>
    <xf numFmtId="188" fontId="65" fillId="0" borderId="4" xfId="51" applyNumberFormat="1" applyFont="1" applyBorder="1" applyAlignment="1">
      <alignment horizontal="center"/>
    </xf>
    <xf numFmtId="0" fontId="71" fillId="0" borderId="4" xfId="51" applyFont="1" applyBorder="1" applyAlignment="1">
      <alignment horizontal="left"/>
    </xf>
    <xf numFmtId="2" fontId="73" fillId="0" borderId="4" xfId="51" applyNumberFormat="1" applyFont="1" applyBorder="1" applyAlignment="1">
      <alignment horizontal="center"/>
    </xf>
    <xf numFmtId="189" fontId="65" fillId="0" borderId="4" xfId="51" applyNumberFormat="1" applyFont="1" applyBorder="1" applyAlignment="1">
      <alignment horizontal="center"/>
    </xf>
    <xf numFmtId="0" fontId="49" fillId="0" borderId="0" xfId="0" applyFont="1" applyAlignment="1" applyProtection="1">
      <alignment vertical="center"/>
    </xf>
    <xf numFmtId="0" fontId="42" fillId="0" borderId="0" xfId="0" applyFont="1" applyAlignment="1">
      <alignment vertical="center"/>
    </xf>
    <xf numFmtId="0" fontId="74" fillId="0" borderId="0" xfId="0" applyFont="1" applyAlignment="1" applyProtection="1">
      <alignment vertical="center"/>
    </xf>
    <xf numFmtId="4" fontId="75" fillId="0" borderId="0" xfId="55" applyFont="1" applyAlignment="1" applyProtection="1">
      <alignment horizontal="centerContinuous" vertical="center"/>
    </xf>
    <xf numFmtId="3" fontId="49" fillId="0" borderId="41" xfId="0" applyNumberFormat="1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horizontal="left" vertical="center"/>
    </xf>
    <xf numFmtId="0" fontId="49" fillId="0" borderId="41" xfId="0" applyFont="1" applyFill="1" applyBorder="1" applyAlignment="1" applyProtection="1">
      <alignment horizontal="center" vertical="center"/>
    </xf>
    <xf numFmtId="0" fontId="49" fillId="0" borderId="4" xfId="0" applyFont="1" applyFill="1" applyBorder="1" applyAlignment="1" applyProtection="1">
      <alignment horizontal="center" vertical="center"/>
    </xf>
    <xf numFmtId="39" fontId="49" fillId="0" borderId="4" xfId="0" applyNumberFormat="1" applyFont="1" applyFill="1" applyBorder="1" applyAlignment="1" applyProtection="1">
      <alignment vertical="center"/>
    </xf>
    <xf numFmtId="0" fontId="49" fillId="0" borderId="4" xfId="0" applyFont="1" applyFill="1" applyBorder="1" applyAlignment="1" applyProtection="1">
      <alignment vertical="center"/>
    </xf>
    <xf numFmtId="0" fontId="49" fillId="0" borderId="4" xfId="0" applyFont="1" applyFill="1" applyBorder="1" applyAlignment="1" applyProtection="1">
      <alignment horizontal="left" vertical="center"/>
    </xf>
    <xf numFmtId="4" fontId="49" fillId="0" borderId="0" xfId="55" applyFont="1" applyAlignment="1" applyProtection="1">
      <alignment vertical="center"/>
    </xf>
    <xf numFmtId="43" fontId="75" fillId="0" borderId="0" xfId="24" applyFont="1" applyFill="1" applyAlignment="1">
      <alignment vertical="center"/>
    </xf>
    <xf numFmtId="3" fontId="49" fillId="0" borderId="26" xfId="0" applyNumberFormat="1" applyFont="1" applyFill="1" applyBorder="1" applyAlignment="1" applyProtection="1">
      <alignment vertical="center"/>
    </xf>
    <xf numFmtId="0" fontId="49" fillId="0" borderId="25" xfId="0" applyFont="1" applyFill="1" applyBorder="1" applyAlignment="1" applyProtection="1">
      <alignment horizontal="left" vertical="center"/>
    </xf>
    <xf numFmtId="0" fontId="49" fillId="0" borderId="26" xfId="0" applyFont="1" applyFill="1" applyBorder="1" applyAlignment="1" applyProtection="1">
      <alignment horizontal="center" vertical="center"/>
    </xf>
    <xf numFmtId="0" fontId="75" fillId="0" borderId="0" xfId="0" applyFont="1" applyAlignment="1" applyProtection="1">
      <alignment vertical="center"/>
    </xf>
    <xf numFmtId="0" fontId="49" fillId="0" borderId="0" xfId="0" applyFont="1" applyFill="1" applyAlignment="1" applyProtection="1">
      <alignment vertical="center"/>
      <protection locked="0"/>
    </xf>
    <xf numFmtId="1" fontId="35" fillId="0" borderId="0" xfId="0" applyNumberFormat="1" applyFont="1" applyFill="1" applyAlignment="1" applyProtection="1">
      <alignment horizontal="center" vertical="center"/>
      <protection locked="0"/>
    </xf>
    <xf numFmtId="0" fontId="49" fillId="0" borderId="0" xfId="0" applyFont="1" applyFill="1" applyAlignment="1" applyProtection="1">
      <alignment horizontal="center" vertical="center"/>
      <protection locked="0"/>
    </xf>
    <xf numFmtId="0" fontId="75" fillId="0" borderId="0" xfId="0" applyFont="1" applyAlignment="1" applyProtection="1">
      <alignment horizontal="center" vertical="center"/>
    </xf>
    <xf numFmtId="1" fontId="49" fillId="0" borderId="0" xfId="0" applyNumberFormat="1" applyFont="1" applyFill="1" applyAlignment="1" applyProtection="1">
      <alignment vertical="center"/>
    </xf>
    <xf numFmtId="0" fontId="76" fillId="13" borderId="0" xfId="0" applyFont="1" applyFill="1" applyAlignment="1" applyProtection="1">
      <alignment vertical="center"/>
    </xf>
    <xf numFmtId="0" fontId="78" fillId="0" borderId="0" xfId="0" applyFont="1" applyAlignment="1" applyProtection="1">
      <alignment vertical="center"/>
    </xf>
    <xf numFmtId="0" fontId="53" fillId="0" borderId="0" xfId="0" applyFont="1" applyAlignment="1" applyProtection="1">
      <alignment vertical="center"/>
    </xf>
    <xf numFmtId="0" fontId="49" fillId="0" borderId="0" xfId="0" applyFont="1" applyAlignment="1" applyProtection="1">
      <alignment horizontal="center" vertical="center"/>
    </xf>
    <xf numFmtId="0" fontId="79" fillId="0" borderId="0" xfId="0" applyFont="1" applyFill="1" applyAlignment="1" applyProtection="1">
      <alignment vertical="center"/>
      <protection locked="0"/>
    </xf>
    <xf numFmtId="0" fontId="79" fillId="0" borderId="0" xfId="0" applyFont="1" applyFill="1" applyAlignment="1" applyProtection="1">
      <alignment vertical="center"/>
    </xf>
    <xf numFmtId="0" fontId="49" fillId="0" borderId="0" xfId="0" applyFont="1" applyAlignment="1" applyProtection="1">
      <alignment horizontal="left" vertical="center"/>
    </xf>
    <xf numFmtId="39" fontId="49" fillId="0" borderId="0" xfId="0" applyNumberFormat="1" applyFont="1" applyAlignment="1" applyProtection="1">
      <alignment vertical="center"/>
    </xf>
    <xf numFmtId="0" fontId="149" fillId="0" borderId="0" xfId="0" applyFont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</xf>
    <xf numFmtId="43" fontId="49" fillId="0" borderId="1" xfId="24" applyFont="1" applyFill="1" applyBorder="1" applyAlignment="1" applyProtection="1">
      <alignment vertical="center"/>
    </xf>
    <xf numFmtId="43" fontId="49" fillId="0" borderId="4" xfId="24" applyFont="1" applyFill="1" applyBorder="1" applyAlignment="1" applyProtection="1">
      <alignment horizontal="center" vertical="center"/>
    </xf>
    <xf numFmtId="0" fontId="75" fillId="0" borderId="0" xfId="0" applyFont="1" applyFill="1" applyAlignment="1" applyProtection="1">
      <alignment vertical="center"/>
      <protection locked="0"/>
    </xf>
    <xf numFmtId="0" fontId="75" fillId="0" borderId="0" xfId="0" applyFont="1" applyFill="1" applyAlignment="1" applyProtection="1">
      <alignment vertical="center"/>
    </xf>
    <xf numFmtId="43" fontId="49" fillId="0" borderId="0" xfId="24" applyFont="1" applyAlignment="1" applyProtection="1">
      <alignment vertical="center"/>
    </xf>
    <xf numFmtId="43" fontId="49" fillId="0" borderId="0" xfId="0" quotePrefix="1" applyNumberFormat="1" applyFont="1" applyFill="1" applyAlignment="1" applyProtection="1">
      <alignment horizontal="right" vertical="center"/>
      <protection locked="0"/>
    </xf>
    <xf numFmtId="2" fontId="75" fillId="0" borderId="0" xfId="0" applyNumberFormat="1" applyFont="1" applyBorder="1" applyAlignment="1" applyProtection="1">
      <alignment horizontal="center" vertical="center"/>
    </xf>
    <xf numFmtId="0" fontId="80" fillId="0" borderId="0" xfId="0" applyFont="1" applyAlignment="1" applyProtection="1">
      <alignment vertical="center"/>
    </xf>
    <xf numFmtId="37" fontId="80" fillId="0" borderId="0" xfId="0" applyNumberFormat="1" applyFont="1" applyAlignment="1" applyProtection="1">
      <alignment horizontal="left" vertical="center"/>
    </xf>
    <xf numFmtId="37" fontId="75" fillId="0" borderId="0" xfId="0" applyNumberFormat="1" applyFont="1" applyAlignment="1" applyProtection="1">
      <alignment horizontal="left" vertical="center"/>
    </xf>
    <xf numFmtId="39" fontId="44" fillId="0" borderId="0" xfId="0" applyNumberFormat="1" applyFont="1" applyAlignment="1" applyProtection="1">
      <alignment horizontal="left" vertical="center"/>
    </xf>
    <xf numFmtId="39" fontId="49" fillId="0" borderId="0" xfId="0" applyNumberFormat="1" applyFont="1" applyAlignment="1" applyProtection="1">
      <alignment horizontal="left" vertical="center"/>
    </xf>
    <xf numFmtId="4" fontId="78" fillId="0" borderId="0" xfId="0" applyNumberFormat="1" applyFont="1" applyAlignment="1" applyProtection="1">
      <alignment vertical="center"/>
    </xf>
    <xf numFmtId="2" fontId="49" fillId="0" borderId="0" xfId="0" applyNumberFormat="1" applyFont="1" applyFill="1" applyAlignment="1" applyProtection="1">
      <alignment horizontal="center" vertical="center"/>
    </xf>
    <xf numFmtId="2" fontId="49" fillId="0" borderId="0" xfId="0" quotePrefix="1" applyNumberFormat="1" applyFont="1" applyAlignment="1" applyProtection="1">
      <alignment vertical="center"/>
    </xf>
    <xf numFmtId="39" fontId="79" fillId="0" borderId="0" xfId="0" applyNumberFormat="1" applyFont="1" applyAlignment="1" applyProtection="1">
      <alignment horizontal="left" vertical="center"/>
    </xf>
    <xf numFmtId="4" fontId="81" fillId="0" borderId="0" xfId="0" applyNumberFormat="1" applyFont="1" applyAlignment="1" applyProtection="1">
      <alignment vertical="center"/>
    </xf>
    <xf numFmtId="2" fontId="78" fillId="0" borderId="0" xfId="0" quotePrefix="1" applyNumberFormat="1" applyFont="1" applyAlignment="1" applyProtection="1">
      <alignment vertical="center"/>
    </xf>
    <xf numFmtId="37" fontId="49" fillId="0" borderId="0" xfId="0" applyNumberFormat="1" applyFont="1" applyAlignment="1" applyProtection="1">
      <alignment vertical="center"/>
    </xf>
    <xf numFmtId="37" fontId="49" fillId="0" borderId="0" xfId="0" applyNumberFormat="1" applyFont="1" applyAlignment="1" applyProtection="1">
      <alignment horizontal="center" vertical="center"/>
    </xf>
    <xf numFmtId="0" fontId="49" fillId="0" borderId="0" xfId="0" applyFont="1" applyAlignment="1" applyProtection="1">
      <alignment horizontal="right" vertical="center"/>
    </xf>
    <xf numFmtId="2" fontId="49" fillId="0" borderId="0" xfId="0" applyNumberFormat="1" applyFont="1" applyAlignment="1" applyProtection="1">
      <alignment horizontal="center" vertical="center"/>
    </xf>
    <xf numFmtId="0" fontId="48" fillId="0" borderId="0" xfId="0" applyFont="1" applyAlignment="1" applyProtection="1">
      <alignment vertical="center"/>
    </xf>
    <xf numFmtId="0" fontId="79" fillId="0" borderId="0" xfId="0" applyFont="1" applyAlignment="1" applyProtection="1">
      <alignment vertical="center"/>
    </xf>
    <xf numFmtId="0" fontId="77" fillId="0" borderId="0" xfId="0" applyFont="1" applyAlignment="1" applyProtection="1">
      <alignment vertical="center"/>
    </xf>
    <xf numFmtId="0" fontId="79" fillId="9" borderId="0" xfId="0" applyFont="1" applyFill="1" applyAlignment="1" applyProtection="1">
      <alignment horizontal="center" vertical="center"/>
      <protection locked="0"/>
    </xf>
    <xf numFmtId="37" fontId="49" fillId="0" borderId="0" xfId="0" applyNumberFormat="1" applyFont="1" applyAlignment="1" applyProtection="1">
      <alignment horizontal="left" vertical="center"/>
    </xf>
    <xf numFmtId="0" fontId="49" fillId="0" borderId="0" xfId="0" applyFont="1" applyBorder="1" applyAlignment="1" applyProtection="1">
      <alignment vertical="center"/>
    </xf>
    <xf numFmtId="39" fontId="81" fillId="0" borderId="0" xfId="0" applyNumberFormat="1" applyFont="1" applyAlignment="1" applyProtection="1">
      <alignment vertical="center"/>
    </xf>
    <xf numFmtId="39" fontId="49" fillId="0" borderId="0" xfId="0" applyNumberFormat="1" applyFont="1" applyFill="1" applyAlignment="1" applyProtection="1">
      <alignment vertical="center"/>
    </xf>
    <xf numFmtId="1" fontId="79" fillId="9" borderId="0" xfId="0" applyNumberFormat="1" applyFont="1" applyFill="1" applyAlignment="1" applyProtection="1">
      <alignment horizontal="center" vertical="center"/>
    </xf>
    <xf numFmtId="41" fontId="49" fillId="0" borderId="0" xfId="0" applyNumberFormat="1" applyFont="1" applyAlignment="1" applyProtection="1">
      <alignment vertical="center"/>
    </xf>
    <xf numFmtId="187" fontId="49" fillId="0" borderId="0" xfId="0" applyNumberFormat="1" applyFont="1" applyAlignment="1" applyProtection="1">
      <alignment vertical="center"/>
    </xf>
    <xf numFmtId="1" fontId="49" fillId="0" borderId="0" xfId="0" applyNumberFormat="1" applyFont="1" applyFill="1" applyAlignment="1" applyProtection="1">
      <alignment horizontal="left" vertical="center"/>
      <protection locked="0"/>
    </xf>
    <xf numFmtId="37" fontId="49" fillId="0" borderId="0" xfId="0" applyNumberFormat="1" applyFont="1" applyFill="1" applyAlignment="1" applyProtection="1">
      <alignment horizontal="left" vertical="center"/>
    </xf>
    <xf numFmtId="187" fontId="49" fillId="0" borderId="0" xfId="0" applyNumberFormat="1" applyFont="1" applyAlignment="1" applyProtection="1">
      <alignment horizontal="center" vertical="center"/>
    </xf>
    <xf numFmtId="187" fontId="49" fillId="0" borderId="0" xfId="0" applyNumberFormat="1" applyFont="1" applyAlignment="1" applyProtection="1">
      <alignment horizontal="left" vertical="center"/>
    </xf>
    <xf numFmtId="187" fontId="82" fillId="0" borderId="0" xfId="0" applyNumberFormat="1" applyFont="1" applyFill="1" applyBorder="1" applyAlignment="1" applyProtection="1">
      <alignment vertical="center"/>
    </xf>
    <xf numFmtId="39" fontId="83" fillId="0" borderId="0" xfId="0" applyNumberFormat="1" applyFont="1" applyAlignment="1" applyProtection="1">
      <alignment horizontal="left" vertical="center"/>
    </xf>
    <xf numFmtId="4" fontId="74" fillId="0" borderId="0" xfId="0" applyNumberFormat="1" applyFont="1" applyAlignment="1" applyProtection="1">
      <alignment vertical="center"/>
    </xf>
    <xf numFmtId="0" fontId="84" fillId="0" borderId="0" xfId="0" applyFont="1" applyFill="1" applyAlignment="1" applyProtection="1">
      <alignment vertical="center"/>
    </xf>
    <xf numFmtId="4" fontId="78" fillId="0" borderId="0" xfId="0" quotePrefix="1" applyNumberFormat="1" applyFont="1" applyAlignment="1" applyProtection="1">
      <alignment vertical="center"/>
    </xf>
    <xf numFmtId="2" fontId="85" fillId="0" borderId="0" xfId="0" applyNumberFormat="1" applyFont="1" applyFill="1" applyAlignment="1" applyProtection="1">
      <alignment horizontal="center" vertical="center"/>
    </xf>
    <xf numFmtId="39" fontId="85" fillId="0" borderId="0" xfId="0" applyNumberFormat="1" applyFont="1" applyFill="1" applyAlignment="1" applyProtection="1">
      <alignment horizontal="left" vertical="center"/>
    </xf>
    <xf numFmtId="188" fontId="49" fillId="0" borderId="0" xfId="0" applyNumberFormat="1" applyFont="1" applyFill="1" applyAlignment="1" applyProtection="1">
      <alignment vertical="center"/>
    </xf>
    <xf numFmtId="0" fontId="42" fillId="13" borderId="0" xfId="51" applyFont="1" applyFill="1"/>
    <xf numFmtId="0" fontId="49" fillId="0" borderId="0" xfId="51" applyFont="1" applyProtection="1"/>
    <xf numFmtId="0" fontId="49" fillId="0" borderId="0" xfId="51" applyFont="1" applyFill="1" applyProtection="1"/>
    <xf numFmtId="0" fontId="49" fillId="0" borderId="0" xfId="51" applyFont="1" applyFill="1" applyAlignment="1" applyProtection="1">
      <alignment vertical="center"/>
      <protection locked="0"/>
    </xf>
    <xf numFmtId="0" fontId="49" fillId="0" borderId="0" xfId="51" applyFont="1" applyFill="1" applyAlignment="1" applyProtection="1">
      <alignment horizontal="center" vertical="center"/>
      <protection locked="0"/>
    </xf>
    <xf numFmtId="0" fontId="49" fillId="0" borderId="0" xfId="51" applyFont="1" applyFill="1" applyAlignment="1" applyProtection="1">
      <alignment vertical="center"/>
    </xf>
    <xf numFmtId="2" fontId="49" fillId="0" borderId="0" xfId="51" applyNumberFormat="1" applyFont="1" applyFill="1" applyBorder="1" applyAlignment="1" applyProtection="1">
      <alignment vertical="center"/>
    </xf>
    <xf numFmtId="0" fontId="49" fillId="0" borderId="0" xfId="51" applyFont="1" applyAlignment="1" applyProtection="1">
      <alignment horizontal="left" vertical="center"/>
    </xf>
    <xf numFmtId="0" fontId="49" fillId="0" borderId="0" xfId="51" applyFont="1" applyAlignment="1" applyProtection="1">
      <alignment horizontal="center" vertical="center"/>
    </xf>
    <xf numFmtId="0" fontId="86" fillId="0" borderId="0" xfId="51" applyFont="1" applyAlignment="1" applyProtection="1">
      <alignment vertical="center"/>
      <protection hidden="1"/>
    </xf>
    <xf numFmtId="43" fontId="49" fillId="0" borderId="0" xfId="24" applyFont="1" applyFill="1" applyBorder="1" applyAlignment="1">
      <alignment horizontal="center" vertical="center"/>
    </xf>
    <xf numFmtId="0" fontId="49" fillId="0" borderId="0" xfId="51" applyFont="1" applyFill="1" applyBorder="1" applyAlignment="1" applyProtection="1">
      <alignment vertical="center"/>
    </xf>
    <xf numFmtId="3" fontId="49" fillId="0" borderId="0" xfId="24" applyNumberFormat="1" applyFont="1" applyFill="1" applyAlignment="1" applyProtection="1">
      <alignment vertical="center"/>
    </xf>
    <xf numFmtId="39" fontId="49" fillId="0" borderId="0" xfId="51" applyNumberFormat="1" applyFont="1" applyAlignment="1" applyProtection="1">
      <alignment horizontal="left" vertical="center"/>
    </xf>
    <xf numFmtId="39" fontId="49" fillId="0" borderId="0" xfId="51" applyNumberFormat="1" applyFont="1" applyAlignment="1" applyProtection="1">
      <alignment vertical="center"/>
    </xf>
    <xf numFmtId="0" fontId="67" fillId="0" borderId="0" xfId="51" applyFont="1" applyAlignment="1" applyProtection="1">
      <alignment horizontal="center"/>
      <protection hidden="1"/>
    </xf>
    <xf numFmtId="0" fontId="86" fillId="0" borderId="0" xfId="51" applyFont="1" applyAlignment="1">
      <alignment vertical="center"/>
    </xf>
    <xf numFmtId="0" fontId="86" fillId="0" borderId="0" xfId="51" applyFont="1" applyAlignment="1" applyProtection="1">
      <alignment horizontal="right" vertical="center"/>
      <protection hidden="1"/>
    </xf>
    <xf numFmtId="43" fontId="49" fillId="0" borderId="0" xfId="24" applyFont="1" applyAlignment="1" applyProtection="1">
      <alignment vertical="center"/>
      <protection hidden="1"/>
    </xf>
    <xf numFmtId="0" fontId="86" fillId="0" borderId="0" xfId="51" applyFont="1" applyAlignment="1" applyProtection="1">
      <alignment horizontal="center" vertical="center"/>
      <protection hidden="1"/>
    </xf>
    <xf numFmtId="43" fontId="86" fillId="0" borderId="0" xfId="24" applyFont="1" applyAlignment="1" applyProtection="1">
      <alignment vertical="center"/>
      <protection hidden="1"/>
    </xf>
    <xf numFmtId="0" fontId="67" fillId="0" borderId="0" xfId="51" applyFont="1" applyAlignment="1" applyProtection="1">
      <alignment vertical="center"/>
      <protection hidden="1"/>
    </xf>
    <xf numFmtId="2" fontId="86" fillId="0" borderId="0" xfId="51" applyNumberFormat="1" applyFont="1" applyAlignment="1" applyProtection="1">
      <alignment vertical="center"/>
      <protection hidden="1"/>
    </xf>
    <xf numFmtId="43" fontId="88" fillId="0" borderId="0" xfId="24" applyFont="1" applyAlignment="1">
      <alignment vertical="center"/>
    </xf>
    <xf numFmtId="0" fontId="49" fillId="0" borderId="0" xfId="51" applyFont="1" applyAlignment="1" applyProtection="1">
      <alignment vertical="center"/>
      <protection hidden="1"/>
    </xf>
    <xf numFmtId="0" fontId="86" fillId="0" borderId="0" xfId="51" applyFont="1" applyAlignment="1" applyProtection="1">
      <alignment horizontal="left" vertical="center"/>
      <protection hidden="1"/>
    </xf>
    <xf numFmtId="0" fontId="75" fillId="0" borderId="0" xfId="51" applyFont="1" applyAlignment="1" applyProtection="1">
      <alignment horizontal="center"/>
      <protection hidden="1"/>
    </xf>
    <xf numFmtId="189" fontId="86" fillId="0" borderId="0" xfId="51" applyNumberFormat="1" applyFont="1" applyAlignment="1" applyProtection="1">
      <alignment vertical="center"/>
      <protection hidden="1"/>
    </xf>
    <xf numFmtId="2" fontId="86" fillId="0" borderId="0" xfId="51" applyNumberFormat="1" applyFont="1" applyFill="1" applyAlignment="1" applyProtection="1">
      <alignment vertical="center"/>
      <protection hidden="1"/>
    </xf>
    <xf numFmtId="39" fontId="86" fillId="0" borderId="0" xfId="51" applyNumberFormat="1" applyFont="1" applyAlignment="1" applyProtection="1">
      <alignment vertical="center"/>
      <protection hidden="1"/>
    </xf>
    <xf numFmtId="2" fontId="86" fillId="0" borderId="0" xfId="51" applyNumberFormat="1" applyFont="1" applyAlignment="1" applyProtection="1">
      <alignment horizontal="center" vertical="center"/>
      <protection hidden="1"/>
    </xf>
    <xf numFmtId="43" fontId="86" fillId="0" borderId="0" xfId="51" applyNumberFormat="1" applyFont="1" applyAlignment="1" applyProtection="1">
      <alignment vertical="center"/>
      <protection hidden="1"/>
    </xf>
    <xf numFmtId="0" fontId="49" fillId="0" borderId="0" xfId="51" applyFont="1"/>
    <xf numFmtId="0" fontId="49" fillId="13" borderId="0" xfId="51" applyFont="1" applyFill="1"/>
    <xf numFmtId="0" fontId="49" fillId="0" borderId="0" xfId="51" applyFont="1" applyAlignment="1" applyProtection="1">
      <alignment horizontal="center" vertical="center"/>
      <protection hidden="1"/>
    </xf>
    <xf numFmtId="43" fontId="75" fillId="0" borderId="0" xfId="24" applyFont="1" applyBorder="1" applyAlignment="1" applyProtection="1">
      <alignment vertical="center"/>
      <protection hidden="1"/>
    </xf>
    <xf numFmtId="0" fontId="89" fillId="14" borderId="0" xfId="51" applyFont="1" applyFill="1" applyBorder="1" applyAlignment="1" applyProtection="1">
      <alignment vertical="center"/>
    </xf>
    <xf numFmtId="0" fontId="90" fillId="15" borderId="0" xfId="51" applyFont="1" applyFill="1" applyBorder="1" applyAlignment="1" applyProtection="1">
      <alignment vertical="center"/>
    </xf>
    <xf numFmtId="0" fontId="42" fillId="15" borderId="0" xfId="51" applyFont="1" applyFill="1" applyBorder="1" applyAlignment="1" applyProtection="1">
      <alignment vertical="center"/>
    </xf>
    <xf numFmtId="204" fontId="91" fillId="16" borderId="0" xfId="77" applyNumberFormat="1" applyFont="1" applyFill="1" applyBorder="1" applyAlignment="1" applyProtection="1">
      <alignment vertical="center"/>
    </xf>
    <xf numFmtId="204" fontId="42" fillId="16" borderId="0" xfId="77" applyNumberFormat="1" applyFont="1" applyFill="1" applyBorder="1" applyAlignment="1" applyProtection="1">
      <alignment horizontal="center" vertical="center"/>
    </xf>
    <xf numFmtId="204" fontId="42" fillId="17" borderId="0" xfId="77" applyNumberFormat="1" applyFont="1" applyFill="1" applyBorder="1" applyAlignment="1" applyProtection="1">
      <alignment horizontal="center" vertical="center"/>
    </xf>
    <xf numFmtId="204" fontId="42" fillId="10" borderId="0" xfId="77" applyNumberFormat="1" applyFont="1" applyFill="1" applyBorder="1" applyAlignment="1" applyProtection="1">
      <alignment horizontal="center" vertical="center"/>
    </xf>
    <xf numFmtId="0" fontId="56" fillId="15" borderId="0" xfId="51" applyFont="1" applyFill="1" applyBorder="1" applyAlignment="1" applyProtection="1">
      <alignment vertical="center"/>
    </xf>
    <xf numFmtId="204" fontId="42" fillId="18" borderId="0" xfId="77" applyNumberFormat="1" applyFont="1" applyFill="1" applyBorder="1" applyAlignment="1" applyProtection="1">
      <alignment horizontal="center" vertical="center"/>
    </xf>
    <xf numFmtId="204" fontId="42" fillId="11" borderId="0" xfId="77" applyNumberFormat="1" applyFont="1" applyFill="1" applyBorder="1" applyAlignment="1" applyProtection="1">
      <alignment horizontal="center" vertical="center"/>
    </xf>
    <xf numFmtId="0" fontId="42" fillId="19" borderId="0" xfId="51" applyFont="1" applyFill="1" applyBorder="1" applyAlignment="1" applyProtection="1">
      <alignment vertical="center"/>
    </xf>
    <xf numFmtId="204" fontId="42" fillId="9" borderId="0" xfId="77" applyNumberFormat="1" applyFont="1" applyFill="1" applyBorder="1" applyAlignment="1" applyProtection="1">
      <alignment horizontal="center" vertical="center"/>
    </xf>
    <xf numFmtId="0" fontId="42" fillId="9" borderId="0" xfId="51" applyFont="1" applyFill="1" applyBorder="1" applyAlignment="1" applyProtection="1">
      <alignment vertical="center"/>
    </xf>
    <xf numFmtId="0" fontId="42" fillId="20" borderId="0" xfId="51" applyFont="1" applyFill="1" applyAlignment="1">
      <alignment vertical="center"/>
    </xf>
    <xf numFmtId="0" fontId="42" fillId="20" borderId="0" xfId="51" applyFont="1" applyFill="1" applyBorder="1" applyAlignment="1" applyProtection="1">
      <alignment horizontal="center" vertical="center"/>
    </xf>
    <xf numFmtId="0" fontId="42" fillId="0" borderId="0" xfId="51" applyFont="1" applyAlignment="1">
      <alignment horizontal="center" vertical="center"/>
    </xf>
    <xf numFmtId="0" fontId="41" fillId="20" borderId="0" xfId="51" applyFont="1" applyFill="1" applyBorder="1" applyAlignment="1" applyProtection="1">
      <alignment vertical="center"/>
    </xf>
    <xf numFmtId="0" fontId="56" fillId="20" borderId="0" xfId="51" applyFont="1" applyFill="1" applyBorder="1" applyAlignment="1" applyProtection="1">
      <alignment vertical="center"/>
    </xf>
    <xf numFmtId="0" fontId="56" fillId="0" borderId="0" xfId="51" applyFont="1" applyBorder="1" applyAlignment="1" applyProtection="1">
      <alignment vertical="center"/>
    </xf>
    <xf numFmtId="0" fontId="56" fillId="0" borderId="0" xfId="51" applyFont="1" applyBorder="1" applyAlignment="1" applyProtection="1">
      <alignment horizontal="center" vertical="center"/>
    </xf>
    <xf numFmtId="0" fontId="42" fillId="0" borderId="0" xfId="51" applyFont="1" applyFill="1" applyAlignment="1">
      <alignment horizontal="center" vertical="center"/>
    </xf>
    <xf numFmtId="0" fontId="42" fillId="0" borderId="0" xfId="51" applyFont="1" applyFill="1" applyAlignment="1" applyProtection="1">
      <alignment vertical="center"/>
    </xf>
    <xf numFmtId="4" fontId="42" fillId="0" borderId="0" xfId="56" applyFont="1" applyFill="1" applyAlignment="1" applyProtection="1">
      <alignment vertical="center"/>
    </xf>
    <xf numFmtId="43" fontId="42" fillId="0" borderId="0" xfId="51" applyNumberFormat="1" applyFont="1" applyFill="1" applyAlignment="1" applyProtection="1">
      <alignment vertical="center"/>
      <protection locked="0"/>
    </xf>
    <xf numFmtId="0" fontId="89" fillId="0" borderId="0" xfId="51" applyFont="1" applyFill="1" applyAlignment="1" applyProtection="1">
      <alignment vertical="center"/>
    </xf>
    <xf numFmtId="0" fontId="49" fillId="0" borderId="32" xfId="51" applyFont="1" applyFill="1" applyBorder="1" applyAlignment="1" applyProtection="1">
      <alignment vertical="center"/>
    </xf>
    <xf numFmtId="0" fontId="89" fillId="0" borderId="32" xfId="51" applyFont="1" applyFill="1" applyBorder="1" applyAlignment="1" applyProtection="1">
      <alignment vertical="center"/>
    </xf>
    <xf numFmtId="0" fontId="49" fillId="0" borderId="32" xfId="51" applyFont="1" applyFill="1" applyBorder="1" applyAlignment="1" applyProtection="1">
      <alignment vertical="center"/>
      <protection locked="0"/>
    </xf>
    <xf numFmtId="0" fontId="79" fillId="0" borderId="32" xfId="51" applyFont="1" applyFill="1" applyBorder="1" applyAlignment="1" applyProtection="1">
      <alignment vertical="center"/>
      <protection locked="0"/>
    </xf>
    <xf numFmtId="0" fontId="42" fillId="0" borderId="32" xfId="51" applyFont="1" applyBorder="1"/>
    <xf numFmtId="189" fontId="49" fillId="0" borderId="32" xfId="51" applyNumberFormat="1" applyFont="1" applyFill="1" applyBorder="1" applyAlignment="1" applyProtection="1">
      <alignment horizontal="center"/>
    </xf>
    <xf numFmtId="189" fontId="49" fillId="0" borderId="32" xfId="51" applyNumberFormat="1" applyFont="1" applyFill="1" applyBorder="1" applyAlignment="1" applyProtection="1">
      <alignment horizontal="center" vertical="center"/>
      <protection locked="0"/>
    </xf>
    <xf numFmtId="189" fontId="49" fillId="0" borderId="32" xfId="51" applyNumberFormat="1" applyFont="1" applyFill="1" applyBorder="1" applyAlignment="1" applyProtection="1">
      <alignment vertical="center"/>
      <protection locked="0"/>
    </xf>
    <xf numFmtId="189" fontId="89" fillId="13" borderId="32" xfId="51" applyNumberFormat="1" applyFont="1" applyFill="1" applyBorder="1" applyAlignment="1" applyProtection="1">
      <alignment vertical="center"/>
      <protection locked="0"/>
    </xf>
    <xf numFmtId="0" fontId="89" fillId="0" borderId="0" xfId="51" applyFont="1" applyFill="1" applyBorder="1" applyAlignment="1" applyProtection="1">
      <alignment vertical="center"/>
    </xf>
    <xf numFmtId="0" fontId="49" fillId="0" borderId="0" xfId="51" applyFont="1" applyFill="1" applyBorder="1" applyAlignment="1" applyProtection="1">
      <alignment vertical="center"/>
      <protection locked="0"/>
    </xf>
    <xf numFmtId="0" fontId="42" fillId="0" borderId="0" xfId="51" applyFont="1" applyBorder="1"/>
    <xf numFmtId="189" fontId="49" fillId="0" borderId="0" xfId="51" applyNumberFormat="1" applyFont="1" applyFill="1" applyBorder="1" applyAlignment="1" applyProtection="1">
      <alignment horizontal="center"/>
    </xf>
    <xf numFmtId="189" fontId="49" fillId="0" borderId="0" xfId="51" applyNumberFormat="1" applyFont="1" applyFill="1" applyBorder="1" applyAlignment="1" applyProtection="1">
      <alignment horizontal="center" vertical="center"/>
      <protection locked="0"/>
    </xf>
    <xf numFmtId="189" fontId="49" fillId="0" borderId="0" xfId="51" applyNumberFormat="1" applyFont="1" applyFill="1" applyBorder="1" applyAlignment="1" applyProtection="1">
      <alignment vertical="center"/>
      <protection locked="0"/>
    </xf>
    <xf numFmtId="189" fontId="89" fillId="13" borderId="0" xfId="51" applyNumberFormat="1" applyFont="1" applyFill="1" applyBorder="1" applyAlignment="1" applyProtection="1">
      <alignment vertical="center"/>
      <protection locked="0"/>
    </xf>
    <xf numFmtId="43" fontId="49" fillId="0" borderId="0" xfId="24" applyNumberFormat="1" applyFont="1" applyFill="1" applyAlignment="1" applyProtection="1">
      <alignment vertical="center"/>
      <protection locked="0"/>
    </xf>
    <xf numFmtId="39" fontId="49" fillId="0" borderId="0" xfId="51" applyNumberFormat="1" applyFont="1" applyFill="1" applyBorder="1" applyAlignment="1" applyProtection="1">
      <alignment horizontal="left" vertical="center"/>
    </xf>
    <xf numFmtId="43" fontId="49" fillId="0" borderId="0" xfId="0" applyNumberFormat="1" applyFont="1" applyFill="1" applyAlignment="1" applyProtection="1">
      <alignment horizontal="right" vertical="center"/>
    </xf>
    <xf numFmtId="3" fontId="75" fillId="0" borderId="0" xfId="24" applyNumberFormat="1" applyFont="1" applyFill="1" applyAlignment="1" applyProtection="1">
      <alignment vertical="center"/>
    </xf>
    <xf numFmtId="0" fontId="86" fillId="13" borderId="0" xfId="51" applyFont="1" applyFill="1" applyBorder="1" applyAlignment="1">
      <alignment vertical="center"/>
    </xf>
    <xf numFmtId="43" fontId="49" fillId="0" borderId="0" xfId="24" applyFont="1" applyFill="1" applyBorder="1" applyAlignment="1" applyProtection="1">
      <alignment horizontal="center" vertical="center"/>
    </xf>
    <xf numFmtId="0" fontId="49" fillId="0" borderId="0" xfId="51" applyFont="1" applyFill="1" applyAlignment="1" applyProtection="1">
      <alignment horizontal="left" vertical="center"/>
    </xf>
    <xf numFmtId="0" fontId="94" fillId="0" borderId="0" xfId="51" applyFont="1" applyBorder="1" applyAlignment="1" applyProtection="1">
      <alignment vertical="center"/>
      <protection hidden="1"/>
    </xf>
    <xf numFmtId="43" fontId="86" fillId="0" borderId="0" xfId="24" quotePrefix="1" applyFont="1" applyAlignment="1" applyProtection="1">
      <alignment horizontal="left" vertical="center"/>
      <protection hidden="1"/>
    </xf>
    <xf numFmtId="43" fontId="86" fillId="0" borderId="0" xfId="24" applyFont="1" applyAlignment="1" applyProtection="1">
      <alignment horizontal="left" vertical="center"/>
      <protection hidden="1"/>
    </xf>
    <xf numFmtId="0" fontId="89" fillId="0" borderId="0" xfId="51" applyFont="1" applyAlignment="1" applyProtection="1">
      <alignment vertical="center"/>
      <protection hidden="1"/>
    </xf>
    <xf numFmtId="43" fontId="43" fillId="0" borderId="42" xfId="24" applyFont="1" applyBorder="1" applyAlignment="1">
      <alignment vertical="center"/>
    </xf>
    <xf numFmtId="0" fontId="49" fillId="0" borderId="0" xfId="51" applyFont="1" applyBorder="1" applyAlignment="1">
      <alignment vertical="center"/>
    </xf>
    <xf numFmtId="0" fontId="94" fillId="0" borderId="0" xfId="51" applyFont="1" applyAlignment="1" applyProtection="1">
      <alignment vertical="center"/>
      <protection hidden="1"/>
    </xf>
    <xf numFmtId="0" fontId="42" fillId="0" borderId="0" xfId="51" applyFont="1" applyAlignment="1">
      <alignment horizontal="center"/>
    </xf>
    <xf numFmtId="2" fontId="49" fillId="0" borderId="0" xfId="51" applyNumberFormat="1" applyFont="1" applyFill="1" applyAlignment="1" applyProtection="1">
      <alignment vertical="center"/>
      <protection hidden="1"/>
    </xf>
    <xf numFmtId="0" fontId="49" fillId="0" borderId="0" xfId="51" applyFont="1" applyAlignment="1">
      <alignment horizontal="center"/>
    </xf>
    <xf numFmtId="43" fontId="43" fillId="0" borderId="42" xfId="24" applyFont="1" applyBorder="1" applyAlignment="1" applyProtection="1">
      <alignment vertical="center"/>
      <protection hidden="1"/>
    </xf>
    <xf numFmtId="0" fontId="94" fillId="0" borderId="0" xfId="51" applyFont="1" applyAlignment="1">
      <alignment vertical="center"/>
    </xf>
    <xf numFmtId="0" fontId="56" fillId="0" borderId="0" xfId="51" applyFont="1" applyAlignment="1">
      <alignment vertical="center"/>
    </xf>
    <xf numFmtId="0" fontId="42" fillId="0" borderId="0" xfId="51" applyFont="1" applyAlignment="1">
      <alignment horizontal="right" vertical="center"/>
    </xf>
    <xf numFmtId="43" fontId="42" fillId="0" borderId="0" xfId="77" applyFont="1" applyAlignment="1">
      <alignment vertical="center"/>
    </xf>
    <xf numFmtId="43" fontId="42" fillId="0" borderId="0" xfId="77" applyFont="1" applyAlignment="1">
      <alignment horizontal="left" vertical="center"/>
    </xf>
    <xf numFmtId="2" fontId="43" fillId="0" borderId="0" xfId="51" applyNumberFormat="1" applyFont="1" applyAlignment="1">
      <alignment vertical="center"/>
    </xf>
    <xf numFmtId="0" fontId="95" fillId="0" borderId="0" xfId="51" applyFont="1" applyAlignment="1">
      <alignment vertical="center"/>
    </xf>
    <xf numFmtId="0" fontId="49" fillId="0" borderId="0" xfId="51" applyFont="1" applyAlignment="1">
      <alignment horizontal="right" vertical="center"/>
    </xf>
    <xf numFmtId="2" fontId="49" fillId="0" borderId="0" xfId="51" applyNumberFormat="1" applyFont="1" applyAlignment="1">
      <alignment vertical="center"/>
    </xf>
    <xf numFmtId="43" fontId="49" fillId="0" borderId="0" xfId="77" applyFont="1" applyAlignment="1">
      <alignment horizontal="left" vertical="center"/>
    </xf>
    <xf numFmtId="43" fontId="49" fillId="0" borderId="0" xfId="77" applyFont="1" applyAlignment="1">
      <alignment vertical="center"/>
    </xf>
    <xf numFmtId="0" fontId="49" fillId="0" borderId="0" xfId="51" applyFont="1" applyFill="1" applyAlignment="1" applyProtection="1">
      <alignment horizontal="center" vertical="center"/>
    </xf>
    <xf numFmtId="43" fontId="49" fillId="0" borderId="0" xfId="24" applyFont="1" applyAlignment="1">
      <alignment vertical="center"/>
    </xf>
    <xf numFmtId="0" fontId="49" fillId="0" borderId="0" xfId="51" applyFont="1" applyAlignment="1">
      <alignment horizontal="center" vertical="center"/>
    </xf>
    <xf numFmtId="43" fontId="49" fillId="0" borderId="0" xfId="51" applyNumberFormat="1" applyFont="1" applyAlignment="1" applyProtection="1">
      <alignment horizontal="center" vertical="center"/>
      <protection hidden="1"/>
    </xf>
    <xf numFmtId="43" fontId="49" fillId="0" borderId="0" xfId="51" applyNumberFormat="1" applyFont="1" applyAlignment="1">
      <alignment vertical="center"/>
    </xf>
    <xf numFmtId="0" fontId="49" fillId="0" borderId="0" xfId="51" quotePrefix="1" applyFont="1" applyAlignment="1">
      <alignment horizontal="left" vertical="center"/>
    </xf>
    <xf numFmtId="43" fontId="49" fillId="0" borderId="0" xfId="77" quotePrefix="1" applyFont="1" applyAlignment="1">
      <alignment horizontal="left" vertical="center"/>
    </xf>
    <xf numFmtId="0" fontId="89" fillId="0" borderId="0" xfId="51" applyFont="1" applyAlignment="1">
      <alignment vertical="center"/>
    </xf>
    <xf numFmtId="43" fontId="43" fillId="0" borderId="42" xfId="77" applyFont="1" applyBorder="1" applyAlignment="1">
      <alignment vertical="center"/>
    </xf>
    <xf numFmtId="43" fontId="42" fillId="0" borderId="0" xfId="51" applyNumberFormat="1" applyFont="1" applyFill="1" applyAlignment="1">
      <alignment vertical="center"/>
    </xf>
    <xf numFmtId="43" fontId="89" fillId="0" borderId="42" xfId="24" applyFont="1" applyBorder="1" applyAlignment="1">
      <alignment vertical="center"/>
    </xf>
    <xf numFmtId="0" fontId="53" fillId="0" borderId="0" xfId="51" applyFont="1" applyFill="1" applyAlignment="1" applyProtection="1">
      <alignment vertical="center"/>
    </xf>
    <xf numFmtId="2" fontId="85" fillId="0" borderId="0" xfId="51" applyNumberFormat="1" applyFont="1" applyFill="1" applyAlignment="1" applyProtection="1">
      <alignment horizontal="center" vertical="center"/>
    </xf>
    <xf numFmtId="43" fontId="49" fillId="0" borderId="0" xfId="51" applyNumberFormat="1" applyFont="1" applyAlignment="1" applyProtection="1">
      <alignment vertical="center"/>
    </xf>
    <xf numFmtId="0" fontId="62" fillId="0" borderId="0" xfId="0" applyFont="1" applyBorder="1" applyAlignment="1" applyProtection="1">
      <alignment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86" fillId="0" borderId="0" xfId="0" applyFont="1" applyAlignment="1" applyProtection="1">
      <alignment horizontal="right" vertical="center"/>
      <protection hidden="1"/>
    </xf>
    <xf numFmtId="0" fontId="86" fillId="0" borderId="0" xfId="0" applyFont="1" applyAlignment="1" applyProtection="1">
      <alignment horizontal="left" vertical="center"/>
      <protection hidden="1"/>
    </xf>
    <xf numFmtId="189" fontId="86" fillId="0" borderId="0" xfId="0" applyNumberFormat="1" applyFont="1" applyAlignment="1" applyProtection="1">
      <alignment vertical="center"/>
      <protection hidden="1"/>
    </xf>
    <xf numFmtId="0" fontId="86" fillId="0" borderId="0" xfId="0" applyFont="1" applyAlignment="1" applyProtection="1">
      <alignment horizontal="center" vertical="center"/>
      <protection hidden="1"/>
    </xf>
    <xf numFmtId="0" fontId="49" fillId="0" borderId="0" xfId="0" applyFont="1" applyBorder="1" applyAlignment="1">
      <alignment vertical="center"/>
    </xf>
    <xf numFmtId="0" fontId="89" fillId="0" borderId="0" xfId="0" applyFont="1" applyAlignment="1" applyProtection="1">
      <alignment vertical="center"/>
      <protection hidden="1"/>
    </xf>
    <xf numFmtId="0" fontId="67" fillId="0" borderId="0" xfId="0" applyFont="1" applyAlignment="1" applyProtection="1">
      <alignment vertical="center"/>
      <protection hidden="1"/>
    </xf>
    <xf numFmtId="0" fontId="67" fillId="0" borderId="0" xfId="0" applyFont="1" applyAlignment="1" applyProtection="1">
      <alignment horizontal="center"/>
      <protection hidden="1"/>
    </xf>
    <xf numFmtId="0" fontId="62" fillId="0" borderId="0" xfId="0" applyFont="1" applyAlignment="1" applyProtection="1">
      <alignment vertical="center"/>
      <protection hidden="1"/>
    </xf>
    <xf numFmtId="0" fontId="86" fillId="0" borderId="0" xfId="0" applyFont="1" applyAlignment="1">
      <alignment vertical="center"/>
    </xf>
    <xf numFmtId="0" fontId="42" fillId="13" borderId="0" xfId="0" applyFont="1" applyFill="1"/>
    <xf numFmtId="0" fontId="42" fillId="0" borderId="0" xfId="0" applyFont="1" applyAlignment="1">
      <alignment horizontal="center"/>
    </xf>
    <xf numFmtId="2" fontId="86" fillId="0" borderId="0" xfId="0" applyNumberFormat="1" applyFont="1" applyFill="1" applyAlignment="1" applyProtection="1">
      <alignment vertical="center"/>
      <protection hidden="1"/>
    </xf>
    <xf numFmtId="39" fontId="86" fillId="0" borderId="0" xfId="0" applyNumberFormat="1" applyFont="1" applyAlignment="1" applyProtection="1">
      <alignment vertical="center"/>
      <protection hidden="1"/>
    </xf>
    <xf numFmtId="2" fontId="86" fillId="0" borderId="0" xfId="0" applyNumberFormat="1" applyFont="1" applyAlignment="1" applyProtection="1">
      <alignment horizontal="center" vertical="center"/>
      <protection hidden="1"/>
    </xf>
    <xf numFmtId="43" fontId="86" fillId="0" borderId="0" xfId="0" applyNumberFormat="1" applyFont="1" applyAlignment="1" applyProtection="1">
      <alignment vertical="center"/>
      <protection hidden="1"/>
    </xf>
    <xf numFmtId="2" fontId="96" fillId="9" borderId="0" xfId="0" applyNumberFormat="1" applyFont="1" applyFill="1" applyAlignment="1" applyProtection="1">
      <alignment vertical="center"/>
      <protection hidden="1"/>
    </xf>
    <xf numFmtId="0" fontId="49" fillId="13" borderId="0" xfId="0" applyFont="1" applyFill="1"/>
    <xf numFmtId="0" fontId="49" fillId="0" borderId="0" xfId="0" applyFont="1" applyAlignment="1">
      <alignment horizontal="center"/>
    </xf>
    <xf numFmtId="0" fontId="49" fillId="0" borderId="0" xfId="0" applyFont="1"/>
    <xf numFmtId="0" fontId="75" fillId="0" borderId="0" xfId="0" applyFont="1" applyAlignment="1" applyProtection="1">
      <alignment horizontal="center"/>
      <protection hidden="1"/>
    </xf>
    <xf numFmtId="0" fontId="75" fillId="0" borderId="0" xfId="0" applyFont="1" applyAlignment="1" applyProtection="1">
      <alignment vertical="center"/>
      <protection hidden="1"/>
    </xf>
    <xf numFmtId="0" fontId="49" fillId="0" borderId="0" xfId="0" applyFont="1" applyAlignment="1">
      <alignment vertical="center"/>
    </xf>
    <xf numFmtId="0" fontId="49" fillId="0" borderId="0" xfId="0" applyFont="1" applyAlignment="1" applyProtection="1">
      <alignment vertical="center"/>
      <protection hidden="1"/>
    </xf>
    <xf numFmtId="0" fontId="49" fillId="0" borderId="0" xfId="0" applyFont="1" applyAlignment="1" applyProtection="1">
      <alignment horizontal="right" vertical="center"/>
      <protection hidden="1"/>
    </xf>
    <xf numFmtId="2" fontId="42" fillId="0" borderId="0" xfId="0" applyNumberFormat="1" applyFont="1" applyFill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left" vertical="center"/>
      <protection hidden="1"/>
    </xf>
    <xf numFmtId="0" fontId="49" fillId="0" borderId="0" xfId="0" applyFont="1" applyAlignment="1">
      <alignment horizontal="center" vertical="center"/>
    </xf>
    <xf numFmtId="43" fontId="49" fillId="0" borderId="0" xfId="24" applyFont="1" applyAlignment="1">
      <alignment horizontal="left" vertical="center"/>
    </xf>
    <xf numFmtId="43" fontId="49" fillId="0" borderId="0" xfId="0" applyNumberFormat="1" applyFont="1" applyAlignment="1" applyProtection="1">
      <alignment horizontal="center" vertical="center"/>
      <protection hidden="1"/>
    </xf>
    <xf numFmtId="43" fontId="49" fillId="0" borderId="0" xfId="0" applyNumberFormat="1" applyFont="1" applyAlignment="1">
      <alignment vertical="center"/>
    </xf>
    <xf numFmtId="39" fontId="49" fillId="0" borderId="0" xfId="0" applyNumberFormat="1" applyFont="1" applyAlignment="1">
      <alignment vertical="center"/>
    </xf>
    <xf numFmtId="0" fontId="89" fillId="0" borderId="0" xfId="0" applyFont="1" applyAlignment="1">
      <alignment vertical="center"/>
    </xf>
    <xf numFmtId="0" fontId="49" fillId="0" borderId="0" xfId="0" applyFont="1" applyAlignment="1" applyProtection="1">
      <alignment horizontal="center" vertical="center"/>
      <protection hidden="1"/>
    </xf>
    <xf numFmtId="43" fontId="49" fillId="0" borderId="0" xfId="24" applyFont="1" applyFill="1" applyBorder="1" applyAlignment="1">
      <alignment horizontal="centerContinuous" vertical="center"/>
    </xf>
    <xf numFmtId="0" fontId="75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2" fontId="67" fillId="0" borderId="0" xfId="0" applyNumberFormat="1" applyFont="1" applyFill="1" applyBorder="1" applyAlignment="1" applyProtection="1">
      <alignment horizontal="center" vertical="center"/>
      <protection hidden="1"/>
    </xf>
    <xf numFmtId="39" fontId="44" fillId="0" borderId="0" xfId="0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vertical="center"/>
    </xf>
    <xf numFmtId="43" fontId="44" fillId="0" borderId="0" xfId="0" applyNumberFormat="1" applyFont="1" applyFill="1" applyBorder="1" applyAlignment="1">
      <alignment horizontal="center" vertical="center"/>
    </xf>
    <xf numFmtId="43" fontId="49" fillId="0" borderId="0" xfId="24" applyNumberFormat="1" applyFont="1" applyFill="1" applyBorder="1" applyAlignment="1">
      <alignment vertical="center"/>
    </xf>
    <xf numFmtId="43" fontId="49" fillId="0" borderId="0" xfId="24" applyNumberFormat="1" applyFont="1" applyAlignment="1">
      <alignment horizontal="left" vertical="center"/>
    </xf>
    <xf numFmtId="43" fontId="49" fillId="9" borderId="0" xfId="24" applyFont="1" applyFill="1" applyBorder="1" applyAlignment="1">
      <alignment horizontal="centerContinuous" vertical="center"/>
    </xf>
    <xf numFmtId="43" fontId="49" fillId="9" borderId="0" xfId="24" applyFont="1" applyFill="1" applyBorder="1" applyAlignment="1">
      <alignment horizontal="center" vertical="center"/>
    </xf>
    <xf numFmtId="43" fontId="41" fillId="0" borderId="0" xfId="24" applyFont="1" applyBorder="1" applyAlignment="1" applyProtection="1">
      <alignment vertical="center"/>
      <protection hidden="1"/>
    </xf>
    <xf numFmtId="0" fontId="97" fillId="0" borderId="0" xfId="0" applyFont="1" applyAlignment="1" applyProtection="1">
      <alignment vertical="center"/>
    </xf>
    <xf numFmtId="0" fontId="86" fillId="0" borderId="0" xfId="0" applyFont="1"/>
    <xf numFmtId="0" fontId="86" fillId="0" borderId="0" xfId="0" applyFont="1" applyAlignment="1">
      <alignment horizontal="center"/>
    </xf>
    <xf numFmtId="43" fontId="49" fillId="0" borderId="0" xfId="0" applyNumberFormat="1" applyFont="1" applyAlignment="1" applyProtection="1">
      <alignment vertical="center"/>
      <protection hidden="1"/>
    </xf>
    <xf numFmtId="43" fontId="49" fillId="0" borderId="0" xfId="0" applyNumberFormat="1" applyFont="1" applyAlignment="1" applyProtection="1">
      <alignment vertical="center"/>
    </xf>
    <xf numFmtId="0" fontId="86" fillId="0" borderId="0" xfId="0" applyFont="1" applyBorder="1" applyAlignment="1"/>
    <xf numFmtId="0" fontId="67" fillId="0" borderId="0" xfId="0" applyFont="1" applyAlignment="1" applyProtection="1">
      <alignment horizontal="center" vertical="center"/>
      <protection hidden="1"/>
    </xf>
    <xf numFmtId="0" fontId="97" fillId="0" borderId="0" xfId="0" applyFont="1" applyAlignment="1" applyProtection="1">
      <alignment vertical="center"/>
      <protection hidden="1"/>
    </xf>
    <xf numFmtId="43" fontId="88" fillId="0" borderId="0" xfId="24" applyFont="1" applyBorder="1" applyAlignment="1" applyProtection="1">
      <alignment vertical="center"/>
      <protection hidden="1"/>
    </xf>
    <xf numFmtId="189" fontId="49" fillId="0" borderId="0" xfId="0" applyNumberFormat="1" applyFont="1" applyAlignment="1" applyProtection="1">
      <alignment horizontal="center" vertical="center"/>
    </xf>
    <xf numFmtId="0" fontId="66" fillId="13" borderId="18" xfId="51" applyFont="1" applyFill="1" applyBorder="1" applyAlignment="1" applyProtection="1">
      <protection hidden="1"/>
    </xf>
    <xf numFmtId="0" fontId="66" fillId="6" borderId="18" xfId="51" applyFont="1" applyFill="1" applyBorder="1" applyAlignment="1" applyProtection="1">
      <alignment horizontal="center"/>
      <protection hidden="1"/>
    </xf>
    <xf numFmtId="0" fontId="42" fillId="13" borderId="23" xfId="51" applyFont="1" applyFill="1" applyBorder="1" applyAlignment="1"/>
    <xf numFmtId="43" fontId="42" fillId="13" borderId="5" xfId="79" applyFont="1" applyFill="1" applyBorder="1" applyAlignment="1">
      <alignment horizontal="center"/>
    </xf>
    <xf numFmtId="43" fontId="42" fillId="13" borderId="0" xfId="79" applyFont="1" applyFill="1" applyBorder="1" applyAlignment="1">
      <alignment horizontal="center"/>
    </xf>
    <xf numFmtId="0" fontId="42" fillId="13" borderId="41" xfId="51" applyFont="1" applyFill="1" applyBorder="1" applyAlignment="1"/>
    <xf numFmtId="43" fontId="42" fillId="13" borderId="4" xfId="79" applyFont="1" applyFill="1" applyBorder="1" applyAlignment="1">
      <alignment horizontal="center"/>
    </xf>
    <xf numFmtId="0" fontId="42" fillId="13" borderId="0" xfId="51" applyFont="1" applyFill="1" applyBorder="1" applyAlignment="1">
      <alignment horizontal="center"/>
    </xf>
    <xf numFmtId="0" fontId="44" fillId="13" borderId="0" xfId="51" applyFont="1" applyFill="1" applyBorder="1" applyAlignment="1">
      <alignment horizontal="center" vertical="top" wrapText="1"/>
    </xf>
    <xf numFmtId="0" fontId="42" fillId="13" borderId="0" xfId="51" applyFont="1" applyFill="1" applyBorder="1" applyAlignment="1"/>
    <xf numFmtId="0" fontId="42" fillId="0" borderId="0" xfId="51" applyFont="1" applyProtection="1"/>
    <xf numFmtId="4" fontId="42" fillId="0" borderId="0" xfId="51" applyNumberFormat="1" applyFont="1" applyProtection="1">
      <protection locked="0"/>
    </xf>
    <xf numFmtId="4" fontId="42" fillId="0" borderId="0" xfId="55" applyFont="1" applyAlignment="1" applyProtection="1">
      <alignment horizontal="left" indent="2"/>
    </xf>
    <xf numFmtId="4" fontId="42" fillId="0" borderId="0" xfId="55" applyFont="1" applyAlignment="1" applyProtection="1">
      <alignment horizontal="left" indent="1"/>
    </xf>
    <xf numFmtId="1" fontId="98" fillId="0" borderId="39" xfId="54" quotePrefix="1" applyNumberFormat="1" applyFont="1" applyBorder="1" applyAlignment="1"/>
    <xf numFmtId="39" fontId="54" fillId="0" borderId="28" xfId="54" applyFont="1" applyBorder="1" applyAlignment="1"/>
    <xf numFmtId="39" fontId="54" fillId="0" borderId="43" xfId="54" applyFont="1" applyBorder="1" applyAlignment="1"/>
    <xf numFmtId="0" fontId="54" fillId="0" borderId="0" xfId="0" applyFont="1"/>
    <xf numFmtId="39" fontId="85" fillId="0" borderId="0" xfId="54" applyNumberFormat="1" applyFont="1" applyAlignment="1" applyProtection="1">
      <alignment horizontal="center"/>
    </xf>
    <xf numFmtId="39" fontId="54" fillId="0" borderId="0" xfId="54" applyFont="1" applyAlignment="1">
      <alignment horizontal="left"/>
    </xf>
    <xf numFmtId="0" fontId="54" fillId="0" borderId="18" xfId="0" applyFont="1" applyBorder="1" applyAlignment="1"/>
    <xf numFmtId="2" fontId="54" fillId="0" borderId="18" xfId="0" applyNumberFormat="1" applyFont="1" applyBorder="1" applyAlignment="1">
      <alignment horizontal="center"/>
    </xf>
    <xf numFmtId="0" fontId="54" fillId="0" borderId="18" xfId="0" applyFont="1" applyBorder="1" applyAlignment="1">
      <alignment horizontal="center"/>
    </xf>
    <xf numFmtId="0" fontId="54" fillId="0" borderId="0" xfId="0" applyFont="1" applyBorder="1" applyAlignment="1"/>
    <xf numFmtId="39" fontId="98" fillId="6" borderId="0" xfId="54" applyFont="1" applyFill="1" applyBorder="1" applyAlignment="1">
      <alignment horizontal="centerContinuous"/>
    </xf>
    <xf numFmtId="39" fontId="101" fillId="6" borderId="0" xfId="54" applyFont="1" applyFill="1" applyAlignment="1">
      <alignment horizontal="centerContinuous"/>
    </xf>
    <xf numFmtId="1" fontId="54" fillId="0" borderId="31" xfId="54" applyNumberFormat="1" applyFont="1" applyBorder="1" applyAlignment="1">
      <alignment horizontal="left"/>
    </xf>
    <xf numFmtId="2" fontId="44" fillId="0" borderId="32" xfId="0" applyNumberFormat="1" applyFont="1" applyBorder="1" applyAlignment="1">
      <alignment horizontal="center"/>
    </xf>
    <xf numFmtId="39" fontId="54" fillId="0" borderId="33" xfId="54" applyFont="1" applyBorder="1" applyAlignment="1">
      <alignment horizontal="center"/>
    </xf>
    <xf numFmtId="2" fontId="44" fillId="0" borderId="31" xfId="0" applyNumberFormat="1" applyFont="1" applyBorder="1" applyAlignment="1">
      <alignment horizontal="center"/>
    </xf>
    <xf numFmtId="39" fontId="54" fillId="0" borderId="0" xfId="54" applyFont="1" applyBorder="1" applyAlignment="1">
      <alignment horizontal="center"/>
    </xf>
    <xf numFmtId="39" fontId="101" fillId="0" borderId="0" xfId="54" applyFont="1"/>
    <xf numFmtId="39" fontId="54" fillId="0" borderId="0" xfId="54" applyFont="1"/>
    <xf numFmtId="39" fontId="54" fillId="0" borderId="0" xfId="54" applyFont="1" applyFill="1"/>
    <xf numFmtId="39" fontId="54" fillId="0" borderId="0" xfId="54" quotePrefix="1" applyFont="1" applyBorder="1" applyAlignment="1">
      <alignment horizontal="center"/>
    </xf>
    <xf numFmtId="39" fontId="98" fillId="0" borderId="5" xfId="54" applyNumberFormat="1" applyFont="1" applyBorder="1" applyProtection="1"/>
    <xf numFmtId="39" fontId="54" fillId="0" borderId="5" xfId="54" applyNumberFormat="1" applyFont="1" applyBorder="1" applyProtection="1"/>
    <xf numFmtId="0" fontId="54" fillId="0" borderId="19" xfId="0" applyFont="1" applyFill="1" applyBorder="1"/>
    <xf numFmtId="0" fontId="54" fillId="0" borderId="19" xfId="0" applyFont="1" applyBorder="1"/>
    <xf numFmtId="1" fontId="54" fillId="0" borderId="44" xfId="54" applyNumberFormat="1" applyFont="1" applyBorder="1" applyAlignment="1">
      <alignment horizontal="center"/>
    </xf>
    <xf numFmtId="193" fontId="54" fillId="0" borderId="45" xfId="0" applyNumberFormat="1" applyFont="1" applyBorder="1" applyAlignment="1">
      <alignment horizontal="center"/>
    </xf>
    <xf numFmtId="39" fontId="49" fillId="0" borderId="5" xfId="54" applyNumberFormat="1" applyFont="1" applyBorder="1" applyAlignment="1" applyProtection="1">
      <alignment horizontal="center"/>
    </xf>
    <xf numFmtId="187" fontId="104" fillId="0" borderId="5" xfId="54" applyNumberFormat="1" applyFont="1" applyFill="1" applyBorder="1" applyAlignment="1"/>
    <xf numFmtId="2" fontId="54" fillId="0" borderId="5" xfId="54" applyNumberFormat="1" applyFont="1" applyBorder="1" applyAlignment="1" applyProtection="1">
      <alignment horizontal="center"/>
    </xf>
    <xf numFmtId="2" fontId="98" fillId="0" borderId="5" xfId="54" applyNumberFormat="1" applyFont="1" applyBorder="1" applyAlignment="1" applyProtection="1">
      <alignment horizontal="center"/>
    </xf>
    <xf numFmtId="193" fontId="54" fillId="0" borderId="46" xfId="0" applyNumberFormat="1" applyFont="1" applyBorder="1" applyAlignment="1">
      <alignment horizontal="center"/>
    </xf>
    <xf numFmtId="39" fontId="54" fillId="0" borderId="5" xfId="54" applyFont="1" applyBorder="1"/>
    <xf numFmtId="0" fontId="83" fillId="0" borderId="0" xfId="0" applyFont="1"/>
    <xf numFmtId="39" fontId="98" fillId="0" borderId="5" xfId="54" applyFont="1" applyBorder="1"/>
    <xf numFmtId="39" fontId="49" fillId="0" borderId="5" xfId="54" applyFont="1" applyBorder="1"/>
    <xf numFmtId="0" fontId="104" fillId="0" borderId="5" xfId="0" applyFont="1" applyFill="1" applyBorder="1" applyAlignment="1"/>
    <xf numFmtId="0" fontId="54" fillId="0" borderId="5" xfId="0" applyFont="1" applyBorder="1" applyAlignment="1">
      <alignment horizontal="center"/>
    </xf>
    <xf numFmtId="39" fontId="54" fillId="0" borderId="4" xfId="54" applyFont="1" applyBorder="1" applyAlignment="1">
      <alignment horizontal="centerContinuous"/>
    </xf>
    <xf numFmtId="39" fontId="54" fillId="0" borderId="4" xfId="54" applyFont="1" applyBorder="1" applyAlignment="1">
      <alignment horizontal="center"/>
    </xf>
    <xf numFmtId="39" fontId="54" fillId="0" borderId="41" xfId="54" applyFont="1" applyBorder="1" applyAlignment="1">
      <alignment horizontal="center"/>
    </xf>
    <xf numFmtId="39" fontId="54" fillId="0" borderId="5" xfId="54" applyFont="1" applyBorder="1" applyAlignment="1" applyProtection="1">
      <alignment horizontal="center"/>
    </xf>
    <xf numFmtId="39" fontId="54" fillId="0" borderId="5" xfId="54" applyFont="1" applyBorder="1" applyAlignment="1">
      <alignment horizontal="center"/>
    </xf>
    <xf numFmtId="2" fontId="54" fillId="0" borderId="23" xfId="54" applyNumberFormat="1" applyFont="1" applyBorder="1" applyAlignment="1">
      <alignment horizontal="center"/>
    </xf>
    <xf numFmtId="39" fontId="54" fillId="0" borderId="44" xfId="54" applyFont="1" applyBorder="1" applyAlignment="1">
      <alignment horizontal="center"/>
    </xf>
    <xf numFmtId="39" fontId="54" fillId="0" borderId="46" xfId="54" applyFont="1" applyBorder="1" applyAlignment="1">
      <alignment horizontal="center"/>
    </xf>
    <xf numFmtId="39" fontId="54" fillId="0" borderId="23" xfId="54" applyFont="1" applyBorder="1" applyAlignment="1">
      <alignment horizontal="center"/>
    </xf>
    <xf numFmtId="194" fontId="54" fillId="0" borderId="23" xfId="54" applyNumberFormat="1" applyFont="1" applyFill="1" applyBorder="1" applyAlignment="1">
      <alignment horizontal="center"/>
    </xf>
    <xf numFmtId="188" fontId="98" fillId="0" borderId="48" xfId="0" applyNumberFormat="1" applyFont="1" applyFill="1" applyBorder="1" applyAlignment="1">
      <alignment horizontal="center" vertical="center"/>
    </xf>
    <xf numFmtId="194" fontId="54" fillId="0" borderId="23" xfId="54" applyNumberFormat="1" applyFont="1" applyBorder="1" applyAlignment="1">
      <alignment horizontal="center"/>
    </xf>
    <xf numFmtId="39" fontId="54" fillId="0" borderId="23" xfId="54" applyNumberFormat="1" applyFont="1" applyBorder="1" applyAlignment="1">
      <alignment horizontal="center"/>
    </xf>
    <xf numFmtId="194" fontId="54" fillId="0" borderId="5" xfId="54" applyNumberFormat="1" applyFont="1" applyBorder="1" applyAlignment="1">
      <alignment horizontal="center"/>
    </xf>
    <xf numFmtId="192" fontId="104" fillId="0" borderId="48" xfId="0" applyNumberFormat="1" applyFont="1" applyFill="1" applyBorder="1" applyAlignment="1">
      <alignment horizontal="center"/>
    </xf>
    <xf numFmtId="188" fontId="104" fillId="0" borderId="45" xfId="0" applyNumberFormat="1" applyFont="1" applyFill="1" applyBorder="1" applyAlignment="1">
      <alignment horizontal="center"/>
    </xf>
    <xf numFmtId="188" fontId="54" fillId="0" borderId="0" xfId="0" applyNumberFormat="1" applyFont="1"/>
    <xf numFmtId="187" fontId="98" fillId="0" borderId="5" xfId="54" applyNumberFormat="1" applyFont="1" applyBorder="1" applyAlignment="1" applyProtection="1">
      <alignment horizontal="center"/>
    </xf>
    <xf numFmtId="197" fontId="54" fillId="0" borderId="44" xfId="54" applyNumberFormat="1" applyFont="1" applyBorder="1" applyAlignment="1">
      <alignment horizontal="center"/>
    </xf>
    <xf numFmtId="188" fontId="98" fillId="0" borderId="5" xfId="0" applyNumberFormat="1" applyFont="1" applyFill="1" applyBorder="1" applyAlignment="1">
      <alignment horizontal="center" vertical="center"/>
    </xf>
    <xf numFmtId="188" fontId="54" fillId="0" borderId="23" xfId="54" applyNumberFormat="1" applyFont="1" applyBorder="1" applyAlignment="1">
      <alignment horizontal="center"/>
    </xf>
    <xf numFmtId="192" fontId="104" fillId="0" borderId="5" xfId="0" applyNumberFormat="1" applyFont="1" applyFill="1" applyBorder="1" applyAlignment="1">
      <alignment horizontal="center"/>
    </xf>
    <xf numFmtId="188" fontId="104" fillId="0" borderId="46" xfId="0" applyNumberFormat="1" applyFont="1" applyFill="1" applyBorder="1" applyAlignment="1">
      <alignment horizontal="center"/>
    </xf>
    <xf numFmtId="39" fontId="49" fillId="0" borderId="5" xfId="54" applyFont="1" applyBorder="1" applyAlignment="1">
      <alignment horizontal="center"/>
    </xf>
    <xf numFmtId="194" fontId="54" fillId="0" borderId="44" xfId="54" applyNumberFormat="1" applyFont="1" applyBorder="1" applyAlignment="1">
      <alignment horizontal="center"/>
    </xf>
    <xf numFmtId="39" fontId="54" fillId="0" borderId="10" xfId="54" applyFont="1" applyBorder="1"/>
    <xf numFmtId="39" fontId="54" fillId="0" borderId="10" xfId="54" applyFont="1" applyBorder="1" applyAlignment="1">
      <alignment horizontal="center"/>
    </xf>
    <xf numFmtId="2" fontId="54" fillId="0" borderId="26" xfId="54" applyNumberFormat="1" applyFont="1" applyBorder="1" applyAlignment="1">
      <alignment horizontal="center"/>
    </xf>
    <xf numFmtId="194" fontId="54" fillId="0" borderId="46" xfId="54" applyNumberFormat="1" applyFont="1" applyBorder="1" applyAlignment="1">
      <alignment horizontal="center"/>
    </xf>
    <xf numFmtId="2" fontId="104" fillId="0" borderId="5" xfId="54" applyNumberFormat="1" applyFont="1" applyFill="1" applyBorder="1" applyAlignment="1"/>
    <xf numFmtId="225" fontId="105" fillId="20" borderId="5" xfId="54" applyNumberFormat="1" applyFont="1" applyFill="1" applyBorder="1" applyAlignment="1">
      <alignment horizontal="center"/>
    </xf>
    <xf numFmtId="39" fontId="54" fillId="0" borderId="5" xfId="54" applyFont="1" applyBorder="1" applyAlignment="1"/>
    <xf numFmtId="194" fontId="105" fillId="0" borderId="44" xfId="54" applyNumberFormat="1" applyFont="1" applyFill="1" applyBorder="1" applyAlignment="1">
      <alignment horizontal="center"/>
    </xf>
    <xf numFmtId="194" fontId="105" fillId="0" borderId="5" xfId="54" applyNumberFormat="1" applyFont="1" applyFill="1" applyBorder="1" applyAlignment="1">
      <alignment horizontal="center"/>
    </xf>
    <xf numFmtId="194" fontId="105" fillId="0" borderId="46" xfId="54" applyNumberFormat="1" applyFont="1" applyFill="1" applyBorder="1" applyAlignment="1">
      <alignment horizontal="center"/>
    </xf>
    <xf numFmtId="39" fontId="54" fillId="0" borderId="44" xfId="54" applyFont="1" applyBorder="1"/>
    <xf numFmtId="39" fontId="54" fillId="0" borderId="46" xfId="54" applyFont="1" applyBorder="1"/>
    <xf numFmtId="39" fontId="54" fillId="0" borderId="50" xfId="54" applyFont="1" applyBorder="1"/>
    <xf numFmtId="39" fontId="54" fillId="0" borderId="51" xfId="54" applyFont="1" applyBorder="1"/>
    <xf numFmtId="39" fontId="54" fillId="0" borderId="52" xfId="54" applyFont="1" applyBorder="1"/>
    <xf numFmtId="39" fontId="54" fillId="0" borderId="50" xfId="54" applyFont="1" applyBorder="1" applyAlignment="1">
      <alignment horizontal="center"/>
    </xf>
    <xf numFmtId="39" fontId="54" fillId="0" borderId="53" xfId="54" applyFont="1" applyBorder="1" applyAlignment="1">
      <alignment horizontal="center"/>
    </xf>
    <xf numFmtId="194" fontId="54" fillId="0" borderId="53" xfId="54" applyNumberFormat="1" applyFont="1" applyFill="1" applyBorder="1" applyAlignment="1">
      <alignment horizontal="center"/>
    </xf>
    <xf numFmtId="188" fontId="98" fillId="0" borderId="51" xfId="0" applyNumberFormat="1" applyFont="1" applyFill="1" applyBorder="1" applyAlignment="1">
      <alignment horizontal="center" vertical="center"/>
    </xf>
    <xf numFmtId="188" fontId="54" fillId="0" borderId="53" xfId="54" applyNumberFormat="1" applyFont="1" applyBorder="1" applyAlignment="1">
      <alignment horizontal="center"/>
    </xf>
    <xf numFmtId="194" fontId="54" fillId="0" borderId="51" xfId="54" applyNumberFormat="1" applyFont="1" applyBorder="1" applyAlignment="1">
      <alignment horizontal="center"/>
    </xf>
    <xf numFmtId="39" fontId="54" fillId="0" borderId="51" xfId="54" applyNumberFormat="1" applyFont="1" applyBorder="1" applyAlignment="1">
      <alignment horizontal="center"/>
    </xf>
    <xf numFmtId="192" fontId="104" fillId="0" borderId="51" xfId="0" applyNumberFormat="1" applyFont="1" applyFill="1" applyBorder="1" applyAlignment="1">
      <alignment horizontal="center"/>
    </xf>
    <xf numFmtId="188" fontId="104" fillId="0" borderId="52" xfId="0" applyNumberFormat="1" applyFont="1" applyFill="1" applyBorder="1" applyAlignment="1">
      <alignment horizontal="center"/>
    </xf>
    <xf numFmtId="0" fontId="104" fillId="0" borderId="5" xfId="0" applyFont="1" applyBorder="1" applyAlignment="1">
      <alignment horizontal="center"/>
    </xf>
    <xf numFmtId="0" fontId="54" fillId="0" borderId="5" xfId="0" applyFont="1" applyBorder="1"/>
    <xf numFmtId="2" fontId="54" fillId="0" borderId="5" xfId="0" applyNumberFormat="1" applyFont="1" applyBorder="1"/>
    <xf numFmtId="0" fontId="104" fillId="0" borderId="5" xfId="0" applyFont="1" applyBorder="1"/>
    <xf numFmtId="2" fontId="104" fillId="0" borderId="5" xfId="0" applyNumberFormat="1" applyFont="1" applyBorder="1"/>
    <xf numFmtId="0" fontId="98" fillId="0" borderId="5" xfId="0" applyFont="1" applyBorder="1"/>
    <xf numFmtId="0" fontId="49" fillId="0" borderId="5" xfId="0" applyFont="1" applyBorder="1"/>
    <xf numFmtId="0" fontId="49" fillId="0" borderId="5" xfId="0" applyFont="1" applyBorder="1" applyAlignment="1">
      <alignment horizontal="center"/>
    </xf>
    <xf numFmtId="0" fontId="54" fillId="0" borderId="0" xfId="0" applyFont="1" applyBorder="1"/>
    <xf numFmtId="2" fontId="54" fillId="0" borderId="0" xfId="0" applyNumberFormat="1" applyFont="1" applyBorder="1" applyAlignment="1">
      <alignment horizontal="center"/>
    </xf>
    <xf numFmtId="0" fontId="42" fillId="0" borderId="4" xfId="51" applyFont="1" applyBorder="1" applyAlignment="1">
      <alignment horizontal="center" vertical="center"/>
    </xf>
    <xf numFmtId="0" fontId="42" fillId="0" borderId="1" xfId="51" applyFont="1" applyBorder="1" applyAlignment="1">
      <alignment vertical="center"/>
    </xf>
    <xf numFmtId="0" fontId="42" fillId="0" borderId="10" xfId="0" applyFont="1" applyFill="1" applyBorder="1" applyAlignment="1" applyProtection="1">
      <alignment horizontal="center"/>
    </xf>
    <xf numFmtId="0" fontId="42" fillId="0" borderId="1" xfId="0" applyFont="1" applyFill="1" applyBorder="1" applyProtection="1"/>
    <xf numFmtId="0" fontId="49" fillId="0" borderId="3" xfId="51" applyFont="1" applyBorder="1" applyAlignment="1">
      <alignment vertical="center"/>
    </xf>
    <xf numFmtId="0" fontId="49" fillId="0" borderId="41" xfId="51" applyFont="1" applyBorder="1" applyAlignment="1">
      <alignment vertical="center"/>
    </xf>
    <xf numFmtId="4" fontId="42" fillId="0" borderId="25" xfId="55" applyFont="1" applyFill="1" applyBorder="1" applyProtection="1"/>
    <xf numFmtId="0" fontId="49" fillId="0" borderId="18" xfId="51" applyFont="1" applyBorder="1" applyAlignment="1">
      <alignment vertical="center"/>
    </xf>
    <xf numFmtId="0" fontId="49" fillId="0" borderId="26" xfId="51" applyFont="1" applyBorder="1" applyAlignment="1">
      <alignment vertical="center"/>
    </xf>
    <xf numFmtId="0" fontId="90" fillId="8" borderId="4" xfId="51" applyFont="1" applyFill="1" applyBorder="1" applyAlignment="1">
      <alignment horizontal="center" vertical="center"/>
    </xf>
    <xf numFmtId="0" fontId="42" fillId="0" borderId="18" xfId="51" applyFont="1" applyBorder="1" applyAlignment="1">
      <alignment vertical="center"/>
    </xf>
    <xf numFmtId="0" fontId="56" fillId="0" borderId="4" xfId="51" applyFont="1" applyBorder="1" applyAlignment="1">
      <alignment vertical="center"/>
    </xf>
    <xf numFmtId="2" fontId="49" fillId="0" borderId="4" xfId="51" applyNumberFormat="1" applyFont="1" applyBorder="1" applyAlignment="1">
      <alignment horizontal="center" vertical="center"/>
    </xf>
    <xf numFmtId="189" fontId="49" fillId="0" borderId="4" xfId="51" applyNumberFormat="1" applyFont="1" applyBorder="1" applyAlignment="1">
      <alignment horizontal="center" vertical="center"/>
    </xf>
    <xf numFmtId="0" fontId="42" fillId="0" borderId="4" xfId="0" applyFont="1" applyFill="1" applyBorder="1" applyAlignment="1" applyProtection="1">
      <alignment horizontal="center"/>
    </xf>
    <xf numFmtId="0" fontId="42" fillId="0" borderId="25" xfId="0" applyFont="1" applyFill="1" applyBorder="1" applyProtection="1"/>
    <xf numFmtId="0" fontId="49" fillId="0" borderId="4" xfId="51" applyFont="1" applyBorder="1" applyAlignment="1">
      <alignment horizontal="center" vertical="center"/>
    </xf>
    <xf numFmtId="0" fontId="42" fillId="0" borderId="3" xfId="51" applyFont="1" applyBorder="1" applyAlignment="1">
      <alignment vertical="center"/>
    </xf>
    <xf numFmtId="43" fontId="49" fillId="0" borderId="4" xfId="77" applyFont="1" applyBorder="1" applyAlignment="1">
      <alignment horizontal="center" vertical="center"/>
    </xf>
    <xf numFmtId="0" fontId="42" fillId="0" borderId="25" xfId="0" applyFont="1" applyBorder="1"/>
    <xf numFmtId="0" fontId="42" fillId="0" borderId="18" xfId="0" applyFont="1" applyBorder="1"/>
    <xf numFmtId="0" fontId="42" fillId="0" borderId="10" xfId="0" applyFont="1" applyBorder="1" applyAlignment="1">
      <alignment horizontal="center"/>
    </xf>
    <xf numFmtId="0" fontId="42" fillId="0" borderId="4" xfId="0" applyFont="1" applyBorder="1" applyAlignment="1">
      <alignment horizontal="center"/>
    </xf>
    <xf numFmtId="43" fontId="90" fillId="8" borderId="1" xfId="77" applyFont="1" applyFill="1" applyBorder="1" applyAlignment="1">
      <alignment vertical="center"/>
    </xf>
    <xf numFmtId="0" fontId="35" fillId="0" borderId="0" xfId="0" applyFont="1" applyAlignment="1" applyProtection="1">
      <alignment vertical="center"/>
    </xf>
    <xf numFmtId="0" fontId="42" fillId="0" borderId="59" xfId="51" applyFont="1" applyFill="1" applyBorder="1" applyAlignment="1">
      <alignment horizontal="center"/>
    </xf>
    <xf numFmtId="0" fontId="42" fillId="0" borderId="59" xfId="0" applyFont="1" applyBorder="1" applyAlignment="1">
      <alignment horizontal="center"/>
    </xf>
    <xf numFmtId="0" fontId="44" fillId="0" borderId="0" xfId="51" applyFont="1" applyAlignment="1">
      <alignment vertical="center"/>
    </xf>
    <xf numFmtId="0" fontId="42" fillId="0" borderId="60" xfId="0" applyFont="1" applyBorder="1"/>
    <xf numFmtId="0" fontId="42" fillId="0" borderId="64" xfId="0" applyFont="1" applyBorder="1" applyAlignment="1">
      <alignment horizontal="center"/>
    </xf>
    <xf numFmtId="0" fontId="106" fillId="0" borderId="0" xfId="51" applyFont="1" applyFill="1" applyAlignment="1">
      <alignment vertical="center"/>
    </xf>
    <xf numFmtId="0" fontId="42" fillId="0" borderId="4" xfId="0" applyFont="1" applyBorder="1"/>
    <xf numFmtId="0" fontId="49" fillId="0" borderId="0" xfId="51" applyFont="1" applyFill="1" applyBorder="1" applyAlignment="1" applyProtection="1">
      <alignment horizontal="center" vertical="center"/>
    </xf>
    <xf numFmtId="2" fontId="49" fillId="0" borderId="0" xfId="51" applyNumberFormat="1" applyFont="1" applyAlignment="1" applyProtection="1">
      <alignment horizontal="center" vertical="center"/>
    </xf>
    <xf numFmtId="2" fontId="42" fillId="0" borderId="10" xfId="51" applyNumberFormat="1" applyFont="1" applyBorder="1" applyAlignment="1">
      <alignment horizontal="center" vertical="center"/>
    </xf>
    <xf numFmtId="0" fontId="42" fillId="0" borderId="10" xfId="51" applyFont="1" applyBorder="1" applyAlignment="1">
      <alignment horizontal="center" vertical="center"/>
    </xf>
    <xf numFmtId="0" fontId="95" fillId="0" borderId="29" xfId="51" applyFont="1" applyBorder="1" applyAlignment="1">
      <alignment vertical="center"/>
    </xf>
    <xf numFmtId="0" fontId="95" fillId="0" borderId="30" xfId="51" applyFont="1" applyBorder="1" applyAlignment="1">
      <alignment vertical="center"/>
    </xf>
    <xf numFmtId="0" fontId="47" fillId="0" borderId="75" xfId="51" applyFont="1" applyFill="1" applyBorder="1" applyAlignment="1">
      <alignment horizontal="center"/>
    </xf>
    <xf numFmtId="189" fontId="47" fillId="0" borderId="4" xfId="51" applyNumberFormat="1" applyFont="1" applyBorder="1" applyAlignment="1">
      <alignment horizontal="center"/>
    </xf>
    <xf numFmtId="2" fontId="42" fillId="0" borderId="4" xfId="51" applyNumberFormat="1" applyFont="1" applyBorder="1" applyAlignment="1">
      <alignment horizontal="center" vertical="center"/>
    </xf>
    <xf numFmtId="2" fontId="47" fillId="0" borderId="41" xfId="51" applyNumberFormat="1" applyFont="1" applyBorder="1" applyAlignment="1">
      <alignment horizontal="center"/>
    </xf>
    <xf numFmtId="2" fontId="47" fillId="0" borderId="4" xfId="51" applyNumberFormat="1" applyFont="1" applyFill="1" applyBorder="1" applyAlignment="1">
      <alignment horizontal="center"/>
    </xf>
    <xf numFmtId="189" fontId="42" fillId="0" borderId="4" xfId="51" applyNumberFormat="1" applyFont="1" applyBorder="1" applyAlignment="1">
      <alignment horizontal="center" vertical="center"/>
    </xf>
    <xf numFmtId="2" fontId="47" fillId="0" borderId="4" xfId="51" applyNumberFormat="1" applyFont="1" applyBorder="1" applyAlignment="1">
      <alignment horizontal="center"/>
    </xf>
    <xf numFmtId="189" fontId="65" fillId="0" borderId="76" xfId="51" applyNumberFormat="1" applyFont="1" applyBorder="1" applyAlignment="1">
      <alignment horizontal="center"/>
    </xf>
    <xf numFmtId="0" fontId="47" fillId="0" borderId="79" xfId="51" applyFont="1" applyFill="1" applyBorder="1" applyAlignment="1">
      <alignment horizontal="center"/>
    </xf>
    <xf numFmtId="189" fontId="47" fillId="0" borderId="80" xfId="51" applyNumberFormat="1" applyFont="1" applyBorder="1" applyAlignment="1">
      <alignment horizontal="center"/>
    </xf>
    <xf numFmtId="2" fontId="42" fillId="0" borderId="80" xfId="51" applyNumberFormat="1" applyFont="1" applyBorder="1" applyAlignment="1">
      <alignment horizontal="center" vertical="center"/>
    </xf>
    <xf numFmtId="2" fontId="47" fillId="0" borderId="88" xfId="51" applyNumberFormat="1" applyFont="1" applyBorder="1" applyAlignment="1">
      <alignment horizontal="center"/>
    </xf>
    <xf numFmtId="2" fontId="47" fillId="0" borderId="80" xfId="51" applyNumberFormat="1" applyFont="1" applyFill="1" applyBorder="1" applyAlignment="1">
      <alignment horizontal="center"/>
    </xf>
    <xf numFmtId="0" fontId="42" fillId="0" borderId="80" xfId="51" applyFont="1" applyBorder="1" applyAlignment="1">
      <alignment horizontal="center" vertical="center"/>
    </xf>
    <xf numFmtId="189" fontId="42" fillId="0" borderId="80" xfId="51" applyNumberFormat="1" applyFont="1" applyBorder="1" applyAlignment="1">
      <alignment horizontal="center" vertical="center"/>
    </xf>
    <xf numFmtId="2" fontId="47" fillId="0" borderId="80" xfId="51" applyNumberFormat="1" applyFont="1" applyBorder="1" applyAlignment="1">
      <alignment horizontal="center"/>
    </xf>
    <xf numFmtId="189" fontId="65" fillId="0" borderId="81" xfId="51" applyNumberFormat="1" applyFont="1" applyBorder="1" applyAlignment="1">
      <alignment horizontal="center"/>
    </xf>
    <xf numFmtId="0" fontId="47" fillId="0" borderId="85" xfId="51" applyFont="1" applyFill="1" applyBorder="1" applyAlignment="1">
      <alignment horizontal="center"/>
    </xf>
    <xf numFmtId="189" fontId="47" fillId="0" borderId="86" xfId="51" applyNumberFormat="1" applyFont="1" applyBorder="1" applyAlignment="1">
      <alignment horizontal="center"/>
    </xf>
    <xf numFmtId="2" fontId="42" fillId="0" borderId="86" xfId="51" applyNumberFormat="1" applyFont="1" applyBorder="1" applyAlignment="1">
      <alignment horizontal="center" vertical="center"/>
    </xf>
    <xf numFmtId="2" fontId="47" fillId="0" borderId="89" xfId="51" applyNumberFormat="1" applyFont="1" applyBorder="1" applyAlignment="1">
      <alignment horizontal="center"/>
    </xf>
    <xf numFmtId="2" fontId="47" fillId="0" borderId="86" xfId="51" applyNumberFormat="1" applyFont="1" applyFill="1" applyBorder="1" applyAlignment="1">
      <alignment horizontal="center"/>
    </xf>
    <xf numFmtId="0" fontId="42" fillId="0" borderId="86" xfId="51" applyFont="1" applyBorder="1" applyAlignment="1">
      <alignment horizontal="center" vertical="center"/>
    </xf>
    <xf numFmtId="189" fontId="42" fillId="0" borderId="86" xfId="51" applyNumberFormat="1" applyFont="1" applyBorder="1" applyAlignment="1">
      <alignment horizontal="center" vertical="center"/>
    </xf>
    <xf numFmtId="2" fontId="47" fillId="0" borderId="86" xfId="51" applyNumberFormat="1" applyFont="1" applyBorder="1" applyAlignment="1">
      <alignment horizontal="center"/>
    </xf>
    <xf numFmtId="189" fontId="65" fillId="0" borderId="87" xfId="51" applyNumberFormat="1" applyFont="1" applyBorder="1" applyAlignment="1">
      <alignment horizontal="center"/>
    </xf>
    <xf numFmtId="0" fontId="95" fillId="0" borderId="31" xfId="51" applyFont="1" applyBorder="1" applyAlignment="1">
      <alignment vertical="center"/>
    </xf>
    <xf numFmtId="0" fontId="95" fillId="0" borderId="33" xfId="51" applyFont="1" applyBorder="1" applyAlignment="1">
      <alignment vertical="center"/>
    </xf>
    <xf numFmtId="2" fontId="42" fillId="0" borderId="91" xfId="51" applyNumberFormat="1" applyFont="1" applyBorder="1" applyAlignment="1">
      <alignment horizontal="center" vertical="center"/>
    </xf>
    <xf numFmtId="0" fontId="42" fillId="0" borderId="91" xfId="77" applyNumberFormat="1" applyFont="1" applyBorder="1" applyAlignment="1">
      <alignment horizontal="center" vertical="center"/>
    </xf>
    <xf numFmtId="188" fontId="42" fillId="0" borderId="71" xfId="51" applyNumberFormat="1" applyFont="1" applyBorder="1" applyAlignment="1">
      <alignment horizontal="center" vertical="center"/>
    </xf>
    <xf numFmtId="2" fontId="42" fillId="0" borderId="92" xfId="51" applyNumberFormat="1" applyFont="1" applyBorder="1" applyAlignment="1">
      <alignment horizontal="center" vertical="center"/>
    </xf>
    <xf numFmtId="0" fontId="42" fillId="0" borderId="86" xfId="77" applyNumberFormat="1" applyFont="1" applyBorder="1" applyAlignment="1">
      <alignment horizontal="center" vertical="center"/>
    </xf>
    <xf numFmtId="188" fontId="42" fillId="0" borderId="93" xfId="51" applyNumberFormat="1" applyFont="1" applyBorder="1" applyAlignment="1">
      <alignment horizontal="center" vertical="center"/>
    </xf>
    <xf numFmtId="2" fontId="42" fillId="0" borderId="1" xfId="51" applyNumberFormat="1" applyFont="1" applyBorder="1" applyAlignment="1">
      <alignment horizontal="center" vertical="center"/>
    </xf>
    <xf numFmtId="0" fontId="42" fillId="0" borderId="1" xfId="77" applyNumberFormat="1" applyFont="1" applyBorder="1" applyAlignment="1">
      <alignment horizontal="center" vertical="center"/>
    </xf>
    <xf numFmtId="188" fontId="42" fillId="0" borderId="74" xfId="51" applyNumberFormat="1" applyFont="1" applyBorder="1" applyAlignment="1">
      <alignment horizontal="center" vertical="center"/>
    </xf>
    <xf numFmtId="2" fontId="42" fillId="0" borderId="3" xfId="51" applyNumberFormat="1" applyFont="1" applyBorder="1" applyAlignment="1">
      <alignment horizontal="center" vertical="center"/>
    </xf>
    <xf numFmtId="0" fontId="42" fillId="0" borderId="4" xfId="77" applyNumberFormat="1" applyFont="1" applyBorder="1" applyAlignment="1">
      <alignment horizontal="center" vertical="center"/>
    </xf>
    <xf numFmtId="188" fontId="42" fillId="0" borderId="94" xfId="51" applyNumberFormat="1" applyFont="1" applyBorder="1" applyAlignment="1">
      <alignment horizontal="center" vertical="center"/>
    </xf>
    <xf numFmtId="2" fontId="42" fillId="0" borderId="82" xfId="51" applyNumberFormat="1" applyFont="1" applyBorder="1" applyAlignment="1">
      <alignment horizontal="center" vertical="center"/>
    </xf>
    <xf numFmtId="0" fontId="42" fillId="0" borderId="82" xfId="77" applyNumberFormat="1" applyFont="1" applyBorder="1" applyAlignment="1">
      <alignment horizontal="center" vertical="center"/>
    </xf>
    <xf numFmtId="188" fontId="42" fillId="0" borderId="78" xfId="51" applyNumberFormat="1" applyFont="1" applyBorder="1" applyAlignment="1">
      <alignment horizontal="center" vertical="center"/>
    </xf>
    <xf numFmtId="2" fontId="42" fillId="0" borderId="95" xfId="51" applyNumberFormat="1" applyFont="1" applyBorder="1" applyAlignment="1">
      <alignment horizontal="center" vertical="center"/>
    </xf>
    <xf numFmtId="0" fontId="42" fillId="0" borderId="80" xfId="77" applyNumberFormat="1" applyFont="1" applyBorder="1" applyAlignment="1">
      <alignment horizontal="center" vertical="center"/>
    </xf>
    <xf numFmtId="188" fontId="42" fillId="0" borderId="96" xfId="51" applyNumberFormat="1" applyFont="1" applyBorder="1" applyAlignment="1">
      <alignment horizontal="center" vertical="center"/>
    </xf>
    <xf numFmtId="0" fontId="42" fillId="0" borderId="10" xfId="77" applyNumberFormat="1" applyFont="1" applyBorder="1" applyAlignment="1">
      <alignment horizontal="center" vertical="center"/>
    </xf>
    <xf numFmtId="0" fontId="49" fillId="0" borderId="0" xfId="51" applyFont="1" applyFill="1" applyAlignment="1">
      <alignment vertical="center"/>
    </xf>
    <xf numFmtId="0" fontId="47" fillId="0" borderId="90" xfId="51" applyFont="1" applyFill="1" applyBorder="1" applyAlignment="1">
      <alignment horizontal="center"/>
    </xf>
    <xf numFmtId="0" fontId="42" fillId="0" borderId="19" xfId="51" applyFont="1" applyBorder="1" applyAlignment="1">
      <alignment horizontal="center" vertical="center"/>
    </xf>
    <xf numFmtId="0" fontId="42" fillId="0" borderId="19" xfId="77" applyNumberFormat="1" applyFont="1" applyBorder="1" applyAlignment="1">
      <alignment horizontal="center" vertical="center"/>
    </xf>
    <xf numFmtId="189" fontId="49" fillId="0" borderId="0" xfId="51" applyNumberFormat="1" applyFont="1" applyAlignment="1">
      <alignment horizontal="right" vertical="center"/>
    </xf>
    <xf numFmtId="0" fontId="95" fillId="0" borderId="0" xfId="51" applyFont="1" applyAlignment="1">
      <alignment horizontal="center" vertical="center"/>
    </xf>
    <xf numFmtId="0" fontId="108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0" borderId="0" xfId="0" applyFont="1" applyFill="1" applyAlignment="1" applyProtection="1">
      <alignment vertical="center"/>
      <protection locked="0"/>
    </xf>
    <xf numFmtId="39" fontId="35" fillId="0" borderId="0" xfId="0" applyNumberFormat="1" applyFont="1" applyAlignment="1" applyProtection="1">
      <alignment vertical="center"/>
    </xf>
    <xf numFmtId="189" fontId="39" fillId="13" borderId="0" xfId="0" applyNumberFormat="1" applyFont="1" applyFill="1" applyAlignment="1" applyProtection="1">
      <alignment vertical="center"/>
      <protection locked="0"/>
    </xf>
    <xf numFmtId="0" fontId="155" fillId="0" borderId="0" xfId="0" applyFont="1" applyAlignment="1">
      <alignment vertical="center"/>
    </xf>
    <xf numFmtId="0" fontId="108" fillId="0" borderId="18" xfId="0" applyFont="1" applyBorder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108" fillId="0" borderId="22" xfId="0" applyFont="1" applyBorder="1" applyAlignment="1">
      <alignment horizontal="center" vertical="center"/>
    </xf>
    <xf numFmtId="0" fontId="35" fillId="0" borderId="56" xfId="0" applyFont="1" applyFill="1" applyBorder="1" applyAlignment="1" applyProtection="1">
      <alignment horizontal="center" vertical="center"/>
    </xf>
    <xf numFmtId="0" fontId="35" fillId="0" borderId="65" xfId="0" applyFont="1" applyBorder="1" applyAlignment="1" applyProtection="1">
      <alignment horizontal="center" vertical="center"/>
    </xf>
    <xf numFmtId="39" fontId="35" fillId="0" borderId="57" xfId="0" applyNumberFormat="1" applyFont="1" applyBorder="1" applyAlignment="1" applyProtection="1">
      <alignment vertical="center"/>
    </xf>
    <xf numFmtId="0" fontId="35" fillId="0" borderId="58" xfId="0" applyFont="1" applyBorder="1" applyAlignment="1" applyProtection="1">
      <alignment vertical="center"/>
    </xf>
    <xf numFmtId="2" fontId="34" fillId="0" borderId="65" xfId="0" applyNumberFormat="1" applyFont="1" applyBorder="1" applyAlignment="1" applyProtection="1">
      <alignment horizontal="center" vertical="center"/>
    </xf>
    <xf numFmtId="0" fontId="35" fillId="0" borderId="58" xfId="0" applyFont="1" applyBorder="1" applyAlignment="1" applyProtection="1">
      <alignment horizontal="left" vertical="center"/>
    </xf>
    <xf numFmtId="0" fontId="108" fillId="0" borderId="21" xfId="0" applyFont="1" applyBorder="1" applyAlignment="1">
      <alignment horizontal="center" vertical="center"/>
    </xf>
    <xf numFmtId="0" fontId="35" fillId="0" borderId="66" xfId="0" applyFont="1" applyFill="1" applyBorder="1" applyAlignment="1" applyProtection="1">
      <alignment vertical="center"/>
    </xf>
    <xf numFmtId="0" fontId="148" fillId="0" borderId="61" xfId="0" applyFont="1" applyFill="1" applyBorder="1" applyAlignment="1" applyProtection="1">
      <alignment vertical="center"/>
    </xf>
    <xf numFmtId="0" fontId="148" fillId="0" borderId="60" xfId="0" applyFont="1" applyFill="1" applyBorder="1" applyAlignment="1" applyProtection="1">
      <alignment vertical="center"/>
    </xf>
    <xf numFmtId="0" fontId="35" fillId="0" borderId="59" xfId="0" applyFont="1" applyFill="1" applyBorder="1" applyAlignment="1" applyProtection="1">
      <alignment horizontal="center" vertical="center"/>
    </xf>
    <xf numFmtId="0" fontId="35" fillId="0" borderId="66" xfId="0" applyFont="1" applyBorder="1" applyAlignment="1" applyProtection="1">
      <alignment horizontal="center" vertical="center"/>
    </xf>
    <xf numFmtId="39" fontId="35" fillId="0" borderId="61" xfId="0" applyNumberFormat="1" applyFont="1" applyBorder="1" applyAlignment="1" applyProtection="1">
      <alignment vertical="center"/>
    </xf>
    <xf numFmtId="0" fontId="35" fillId="0" borderId="60" xfId="0" applyFont="1" applyBorder="1" applyAlignment="1" applyProtection="1">
      <alignment vertical="center"/>
    </xf>
    <xf numFmtId="2" fontId="34" fillId="0" borderId="66" xfId="0" applyNumberFormat="1" applyFont="1" applyBorder="1" applyAlignment="1" applyProtection="1">
      <alignment horizontal="center" vertical="center"/>
    </xf>
    <xf numFmtId="0" fontId="35" fillId="0" borderId="60" xfId="0" applyFont="1" applyBorder="1" applyAlignment="1" applyProtection="1">
      <alignment horizontal="left" vertical="center"/>
    </xf>
    <xf numFmtId="0" fontId="108" fillId="0" borderId="25" xfId="0" applyFont="1" applyBorder="1" applyAlignment="1">
      <alignment horizontal="center" vertical="center"/>
    </xf>
    <xf numFmtId="0" fontId="35" fillId="0" borderId="67" xfId="0" applyFont="1" applyFill="1" applyBorder="1" applyAlignment="1" applyProtection="1">
      <alignment vertical="center"/>
    </xf>
    <xf numFmtId="0" fontId="148" fillId="0" borderId="62" xfId="0" applyFont="1" applyFill="1" applyBorder="1" applyAlignment="1" applyProtection="1">
      <alignment vertical="center"/>
    </xf>
    <xf numFmtId="0" fontId="148" fillId="0" borderId="63" xfId="0" applyFont="1" applyFill="1" applyBorder="1" applyAlignment="1" applyProtection="1">
      <alignment vertical="center"/>
    </xf>
    <xf numFmtId="0" fontId="35" fillId="0" borderId="64" xfId="0" applyFont="1" applyFill="1" applyBorder="1" applyAlignment="1" applyProtection="1">
      <alignment horizontal="center" vertical="center"/>
    </xf>
    <xf numFmtId="0" fontId="35" fillId="0" borderId="67" xfId="0" applyFont="1" applyBorder="1" applyAlignment="1" applyProtection="1">
      <alignment horizontal="center" vertical="center"/>
    </xf>
    <xf numFmtId="39" fontId="35" fillId="0" borderId="62" xfId="0" applyNumberFormat="1" applyFont="1" applyBorder="1" applyAlignment="1" applyProtection="1">
      <alignment vertical="center"/>
    </xf>
    <xf numFmtId="0" fontId="35" fillId="0" borderId="63" xfId="0" applyFont="1" applyBorder="1" applyAlignment="1" applyProtection="1">
      <alignment vertical="center"/>
    </xf>
    <xf numFmtId="2" fontId="34" fillId="0" borderId="67" xfId="0" applyNumberFormat="1" applyFont="1" applyBorder="1" applyAlignment="1" applyProtection="1">
      <alignment horizontal="center" vertical="center"/>
    </xf>
    <xf numFmtId="0" fontId="35" fillId="0" borderId="63" xfId="0" applyFont="1" applyBorder="1" applyAlignment="1" applyProtection="1">
      <alignment horizontal="left" vertical="center"/>
    </xf>
    <xf numFmtId="0" fontId="108" fillId="0" borderId="3" xfId="0" applyFont="1" applyBorder="1" applyAlignment="1">
      <alignment vertical="center"/>
    </xf>
    <xf numFmtId="0" fontId="35" fillId="0" borderId="61" xfId="0" applyFont="1" applyFill="1" applyBorder="1" applyAlignment="1" applyProtection="1">
      <alignment vertical="center"/>
    </xf>
    <xf numFmtId="0" fontId="35" fillId="0" borderId="60" xfId="0" applyFont="1" applyFill="1" applyBorder="1" applyAlignment="1" applyProtection="1">
      <alignment vertical="center"/>
    </xf>
    <xf numFmtId="0" fontId="35" fillId="0" borderId="62" xfId="0" applyFont="1" applyFill="1" applyBorder="1" applyAlignment="1" applyProtection="1">
      <alignment vertical="center"/>
    </xf>
    <xf numFmtId="0" fontId="35" fillId="0" borderId="63" xfId="0" applyFont="1" applyFill="1" applyBorder="1" applyAlignment="1" applyProtection="1">
      <alignment vertical="center"/>
    </xf>
    <xf numFmtId="0" fontId="108" fillId="0" borderId="56" xfId="0" applyFont="1" applyBorder="1" applyAlignment="1">
      <alignment horizontal="center" vertical="center"/>
    </xf>
    <xf numFmtId="0" fontId="35" fillId="0" borderId="56" xfId="0" applyFont="1" applyBorder="1" applyAlignment="1" applyProtection="1">
      <alignment horizontal="center" vertical="center"/>
    </xf>
    <xf numFmtId="0" fontId="35" fillId="0" borderId="0" xfId="0" applyFont="1" applyFill="1" applyAlignment="1" applyProtection="1">
      <alignment vertical="center"/>
    </xf>
    <xf numFmtId="4" fontId="35" fillId="0" borderId="0" xfId="55" applyFont="1" applyAlignment="1" applyProtection="1">
      <alignment vertical="center"/>
    </xf>
    <xf numFmtId="0" fontId="108" fillId="0" borderId="59" xfId="0" applyFont="1" applyBorder="1" applyAlignment="1">
      <alignment horizontal="center" vertical="center"/>
    </xf>
    <xf numFmtId="0" fontId="35" fillId="0" borderId="59" xfId="51" applyFont="1" applyFill="1" applyBorder="1" applyAlignment="1" applyProtection="1">
      <alignment vertical="center"/>
    </xf>
    <xf numFmtId="0" fontId="35" fillId="0" borderId="59" xfId="0" applyFont="1" applyBorder="1" applyAlignment="1" applyProtection="1">
      <alignment horizontal="center" vertical="center"/>
    </xf>
    <xf numFmtId="0" fontId="35" fillId="0" borderId="0" xfId="0" applyFont="1" applyAlignment="1" applyProtection="1">
      <alignment horizontal="center" vertical="center"/>
    </xf>
    <xf numFmtId="0" fontId="35" fillId="0" borderId="66" xfId="51" applyFont="1" applyFill="1" applyBorder="1" applyAlignment="1" applyProtection="1">
      <alignment vertical="center"/>
      <protection locked="0"/>
    </xf>
    <xf numFmtId="0" fontId="35" fillId="0" borderId="61" xfId="51" applyFont="1" applyFill="1" applyBorder="1" applyAlignment="1" applyProtection="1">
      <alignment vertical="center"/>
      <protection locked="0"/>
    </xf>
    <xf numFmtId="0" fontId="35" fillId="0" borderId="60" xfId="51" applyFont="1" applyFill="1" applyBorder="1" applyAlignment="1" applyProtection="1">
      <alignment vertical="center"/>
      <protection locked="0"/>
    </xf>
    <xf numFmtId="0" fontId="35" fillId="0" borderId="4" xfId="0" applyFont="1" applyBorder="1" applyAlignment="1" applyProtection="1">
      <alignment horizontal="center" vertical="center"/>
    </xf>
    <xf numFmtId="0" fontId="108" fillId="0" borderId="4" xfId="0" applyFont="1" applyBorder="1" applyAlignment="1">
      <alignment vertical="center"/>
    </xf>
    <xf numFmtId="0" fontId="35" fillId="0" borderId="0" xfId="51" applyFont="1" applyAlignment="1" applyProtection="1">
      <alignment vertical="center"/>
    </xf>
    <xf numFmtId="0" fontId="35" fillId="0" borderId="60" xfId="24" applyNumberFormat="1" applyFont="1" applyFill="1" applyBorder="1" applyAlignment="1" applyProtection="1">
      <alignment horizontal="center" vertical="center"/>
      <protection locked="0"/>
    </xf>
    <xf numFmtId="4" fontId="35" fillId="0" borderId="59" xfId="0" applyNumberFormat="1" applyFont="1" applyFill="1" applyBorder="1" applyAlignment="1">
      <alignment vertical="center"/>
    </xf>
    <xf numFmtId="0" fontId="35" fillId="0" borderId="59" xfId="51" applyFont="1" applyFill="1" applyBorder="1" applyAlignment="1" applyProtection="1">
      <alignment vertical="center"/>
      <protection hidden="1"/>
    </xf>
    <xf numFmtId="0" fontId="35" fillId="0" borderId="60" xfId="51" applyFont="1" applyFill="1" applyBorder="1" applyAlignment="1" applyProtection="1">
      <alignment horizontal="center" vertical="center"/>
      <protection locked="0"/>
    </xf>
    <xf numFmtId="39" fontId="35" fillId="0" borderId="0" xfId="0" applyNumberFormat="1" applyFont="1" applyBorder="1" applyAlignment="1" applyProtection="1">
      <alignment horizontal="left" vertical="center"/>
    </xf>
    <xf numFmtId="0" fontId="35" fillId="0" borderId="59" xfId="51" applyFont="1" applyBorder="1" applyAlignment="1" applyProtection="1">
      <alignment horizontal="center" vertical="center"/>
    </xf>
    <xf numFmtId="0" fontId="35" fillId="0" borderId="59" xfId="51" applyFont="1" applyFill="1" applyBorder="1" applyAlignment="1">
      <alignment vertical="center"/>
    </xf>
    <xf numFmtId="0" fontId="108" fillId="0" borderId="61" xfId="0" applyFont="1" applyFill="1" applyBorder="1" applyAlignment="1">
      <alignment vertical="center"/>
    </xf>
    <xf numFmtId="0" fontId="108" fillId="0" borderId="60" xfId="0" applyFont="1" applyFill="1" applyBorder="1" applyAlignment="1">
      <alignment vertical="center"/>
    </xf>
    <xf numFmtId="0" fontId="35" fillId="0" borderId="61" xfId="51" applyFont="1" applyFill="1" applyBorder="1" applyAlignment="1" applyProtection="1">
      <alignment vertical="center"/>
    </xf>
    <xf numFmtId="0" fontId="35" fillId="0" borderId="59" xfId="51" applyFont="1" applyFill="1" applyBorder="1" applyAlignment="1" applyProtection="1">
      <alignment horizontal="center" vertical="center"/>
    </xf>
    <xf numFmtId="0" fontId="35" fillId="0" borderId="61" xfId="0" applyFont="1" applyFill="1" applyBorder="1" applyAlignment="1" applyProtection="1">
      <alignment vertical="center"/>
      <protection locked="0"/>
    </xf>
    <xf numFmtId="3" fontId="35" fillId="0" borderId="59" xfId="24" applyNumberFormat="1" applyFont="1" applyFill="1" applyBorder="1" applyAlignment="1" applyProtection="1">
      <alignment horizontal="center" vertical="center"/>
    </xf>
    <xf numFmtId="0" fontId="35" fillId="0" borderId="66" xfId="0" applyFont="1" applyFill="1" applyBorder="1" applyAlignment="1" applyProtection="1">
      <alignment vertical="center"/>
      <protection locked="0"/>
    </xf>
    <xf numFmtId="3" fontId="49" fillId="0" borderId="0" xfId="24" applyNumberFormat="1" applyFont="1" applyFill="1" applyAlignment="1" applyProtection="1">
      <alignment horizontal="center" vertical="center"/>
    </xf>
    <xf numFmtId="198" fontId="49" fillId="0" borderId="0" xfId="24" applyNumberFormat="1" applyFont="1" applyFill="1" applyAlignment="1" applyProtection="1">
      <alignment horizontal="center" vertical="center"/>
      <protection locked="0"/>
    </xf>
    <xf numFmtId="4" fontId="156" fillId="0" borderId="0" xfId="0" applyNumberFormat="1" applyFont="1" applyFill="1" applyProtection="1"/>
    <xf numFmtId="0" fontId="157" fillId="0" borderId="0" xfId="0" applyFont="1" applyAlignment="1" applyProtection="1">
      <alignment vertical="center"/>
    </xf>
    <xf numFmtId="0" fontId="157" fillId="0" borderId="0" xfId="0" applyFont="1" applyBorder="1" applyAlignment="1" applyProtection="1">
      <alignment vertical="center"/>
    </xf>
    <xf numFmtId="0" fontId="156" fillId="0" borderId="0" xfId="0" applyFont="1" applyAlignment="1" applyProtection="1">
      <alignment vertical="center"/>
    </xf>
    <xf numFmtId="0" fontId="157" fillId="0" borderId="18" xfId="0" applyFont="1" applyBorder="1" applyAlignment="1" applyProtection="1">
      <alignment vertical="center"/>
    </xf>
    <xf numFmtId="0" fontId="156" fillId="0" borderId="18" xfId="0" applyFont="1" applyBorder="1" applyAlignment="1" applyProtection="1">
      <alignment vertical="center"/>
    </xf>
    <xf numFmtId="0" fontId="42" fillId="0" borderId="0" xfId="0" applyFont="1" applyBorder="1"/>
    <xf numFmtId="4" fontId="53" fillId="0" borderId="22" xfId="0" applyNumberFormat="1" applyFont="1" applyBorder="1" applyAlignment="1" applyProtection="1">
      <alignment vertical="center"/>
    </xf>
    <xf numFmtId="4" fontId="53" fillId="0" borderId="20" xfId="0" applyNumberFormat="1" applyFont="1" applyBorder="1" applyAlignment="1" applyProtection="1">
      <alignment vertical="center"/>
    </xf>
    <xf numFmtId="4" fontId="158" fillId="0" borderId="4" xfId="0" applyNumberFormat="1" applyFont="1" applyBorder="1" applyAlignment="1" applyProtection="1">
      <alignment vertical="center"/>
    </xf>
    <xf numFmtId="0" fontId="87" fillId="0" borderId="0" xfId="0" applyFont="1" applyAlignment="1">
      <alignment horizontal="center"/>
    </xf>
    <xf numFmtId="0" fontId="111" fillId="0" borderId="0" xfId="0" applyFont="1"/>
    <xf numFmtId="2" fontId="112" fillId="0" borderId="0" xfId="0" applyNumberFormat="1" applyFont="1" applyAlignment="1">
      <alignment horizontal="center"/>
    </xf>
    <xf numFmtId="0" fontId="113" fillId="0" borderId="0" xfId="0" applyFont="1"/>
    <xf numFmtId="0" fontId="114" fillId="0" borderId="0" xfId="0" applyFont="1"/>
    <xf numFmtId="0" fontId="56" fillId="0" borderId="2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4" xfId="0" applyFont="1" applyBorder="1" applyProtection="1"/>
    <xf numFmtId="41" fontId="42" fillId="0" borderId="10" xfId="0" applyNumberFormat="1" applyFont="1" applyFill="1" applyBorder="1" applyAlignment="1">
      <alignment horizontal="center"/>
    </xf>
    <xf numFmtId="43" fontId="42" fillId="0" borderId="10" xfId="0" applyNumberFormat="1" applyFont="1" applyFill="1" applyBorder="1" applyAlignment="1">
      <alignment horizontal="center" vertical="center"/>
    </xf>
    <xf numFmtId="43" fontId="42" fillId="0" borderId="10" xfId="24" applyFont="1" applyFill="1" applyBorder="1" applyAlignment="1">
      <alignment horizontal="center" vertical="center"/>
    </xf>
    <xf numFmtId="43" fontId="42" fillId="0" borderId="4" xfId="24" applyNumberFormat="1" applyFont="1" applyBorder="1"/>
    <xf numFmtId="200" fontId="42" fillId="0" borderId="4" xfId="24" applyNumberFormat="1" applyFont="1" applyBorder="1"/>
    <xf numFmtId="0" fontId="56" fillId="0" borderId="4" xfId="0" applyFont="1" applyFill="1" applyBorder="1" applyAlignment="1">
      <alignment horizontal="center" vertical="center"/>
    </xf>
    <xf numFmtId="1" fontId="56" fillId="0" borderId="4" xfId="0" applyNumberFormat="1" applyFont="1" applyFill="1" applyBorder="1" applyAlignment="1">
      <alignment horizontal="center" vertical="center"/>
    </xf>
    <xf numFmtId="1" fontId="56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/>
    <xf numFmtId="0" fontId="111" fillId="0" borderId="0" xfId="0" applyFont="1" applyFill="1"/>
    <xf numFmtId="43" fontId="115" fillId="0" borderId="97" xfId="0" applyNumberFormat="1" applyFont="1" applyBorder="1"/>
    <xf numFmtId="43" fontId="44" fillId="21" borderId="97" xfId="0" applyNumberFormat="1" applyFont="1" applyFill="1" applyBorder="1"/>
    <xf numFmtId="43" fontId="45" fillId="0" borderId="97" xfId="0" applyNumberFormat="1" applyFont="1" applyBorder="1"/>
    <xf numFmtId="2" fontId="56" fillId="0" borderId="4" xfId="0" applyNumberFormat="1" applyFont="1" applyBorder="1" applyAlignment="1">
      <alignment horizontal="center"/>
    </xf>
    <xf numFmtId="1" fontId="56" fillId="0" borderId="4" xfId="0" applyNumberFormat="1" applyFont="1" applyBorder="1" applyAlignment="1">
      <alignment horizontal="center"/>
    </xf>
    <xf numFmtId="1" fontId="56" fillId="0" borderId="0" xfId="0" applyNumberFormat="1" applyFont="1" applyBorder="1" applyAlignment="1">
      <alignment horizontal="center"/>
    </xf>
    <xf numFmtId="43" fontId="42" fillId="9" borderId="4" xfId="24" applyNumberFormat="1" applyFont="1" applyFill="1" applyBorder="1"/>
    <xf numFmtId="189" fontId="56" fillId="0" borderId="4" xfId="0" applyNumberFormat="1" applyFont="1" applyBorder="1" applyAlignment="1">
      <alignment horizontal="center"/>
    </xf>
    <xf numFmtId="41" fontId="42" fillId="0" borderId="4" xfId="0" applyNumberFormat="1" applyFont="1" applyBorder="1" applyProtection="1"/>
    <xf numFmtId="0" fontId="101" fillId="0" borderId="4" xfId="0" applyFont="1" applyBorder="1" applyAlignment="1">
      <alignment horizontal="center"/>
    </xf>
    <xf numFmtId="0" fontId="42" fillId="0" borderId="4" xfId="84" applyFont="1" applyBorder="1"/>
    <xf numFmtId="4" fontId="42" fillId="9" borderId="10" xfId="0" applyNumberFormat="1" applyFont="1" applyFill="1" applyBorder="1"/>
    <xf numFmtId="43" fontId="42" fillId="0" borderId="10" xfId="24" applyNumberFormat="1" applyFont="1" applyBorder="1"/>
    <xf numFmtId="200" fontId="42" fillId="0" borderId="10" xfId="24" applyNumberFormat="1" applyFont="1" applyBorder="1"/>
    <xf numFmtId="43" fontId="42" fillId="0" borderId="4" xfId="0" applyNumberFormat="1" applyFont="1" applyFill="1" applyBorder="1"/>
    <xf numFmtId="198" fontId="42" fillId="9" borderId="1" xfId="0" applyNumberFormat="1" applyFont="1" applyFill="1" applyBorder="1" applyAlignment="1">
      <alignment horizontal="center"/>
    </xf>
    <xf numFmtId="198" fontId="42" fillId="9" borderId="41" xfId="0" applyNumberFormat="1" applyFont="1" applyFill="1" applyBorder="1" applyAlignment="1">
      <alignment horizontal="center"/>
    </xf>
    <xf numFmtId="200" fontId="42" fillId="0" borderId="0" xfId="0" applyNumberFormat="1" applyFont="1"/>
    <xf numFmtId="41" fontId="42" fillId="0" borderId="4" xfId="84" applyNumberFormat="1" applyFont="1" applyBorder="1"/>
    <xf numFmtId="0" fontId="44" fillId="0" borderId="4" xfId="0" applyFont="1" applyBorder="1" applyAlignment="1">
      <alignment horizontal="center"/>
    </xf>
    <xf numFmtId="0" fontId="44" fillId="0" borderId="4" xfId="0" applyFont="1" applyBorder="1" applyAlignment="1"/>
    <xf numFmtId="198" fontId="42" fillId="9" borderId="18" xfId="0" applyNumberFormat="1" applyFont="1" applyFill="1" applyBorder="1" applyAlignment="1">
      <alignment horizontal="center"/>
    </xf>
    <xf numFmtId="198" fontId="42" fillId="9" borderId="10" xfId="0" applyNumberFormat="1" applyFont="1" applyFill="1" applyBorder="1" applyAlignment="1">
      <alignment horizontal="center"/>
    </xf>
    <xf numFmtId="43" fontId="42" fillId="9" borderId="4" xfId="24" applyNumberFormat="1" applyFont="1" applyFill="1" applyBorder="1" applyAlignment="1"/>
    <xf numFmtId="39" fontId="42" fillId="0" borderId="19" xfId="0" applyNumberFormat="1" applyFont="1" applyBorder="1" applyProtection="1"/>
    <xf numFmtId="43" fontId="42" fillId="9" borderId="10" xfId="24" applyNumberFormat="1" applyFont="1" applyFill="1" applyBorder="1" applyAlignment="1"/>
    <xf numFmtId="43" fontId="44" fillId="22" borderId="19" xfId="0" applyNumberFormat="1" applyFont="1" applyFill="1" applyBorder="1"/>
    <xf numFmtId="43" fontId="116" fillId="22" borderId="97" xfId="0" applyNumberFormat="1" applyFont="1" applyFill="1" applyBorder="1"/>
    <xf numFmtId="0" fontId="111" fillId="0" borderId="0" xfId="0" applyFont="1" applyAlignment="1">
      <alignment horizontal="center"/>
    </xf>
    <xf numFmtId="198" fontId="111" fillId="0" borderId="0" xfId="24" applyNumberFormat="1" applyFont="1"/>
    <xf numFmtId="0" fontId="117" fillId="0" borderId="0" xfId="0" applyFont="1"/>
    <xf numFmtId="1" fontId="117" fillId="0" borderId="0" xfId="0" applyNumberFormat="1" applyFont="1"/>
    <xf numFmtId="0" fontId="56" fillId="0" borderId="0" xfId="0" applyFont="1"/>
    <xf numFmtId="1" fontId="56" fillId="0" borderId="0" xfId="0" applyNumberFormat="1" applyFont="1"/>
    <xf numFmtId="0" fontId="42" fillId="25" borderId="36" xfId="0" applyFont="1" applyFill="1" applyBorder="1" applyAlignment="1" applyProtection="1">
      <alignment vertical="center"/>
    </xf>
    <xf numFmtId="0" fontId="44" fillId="25" borderId="98" xfId="0" applyFont="1" applyFill="1" applyBorder="1" applyAlignment="1" applyProtection="1">
      <alignment horizontal="center" vertical="center"/>
    </xf>
    <xf numFmtId="43" fontId="42" fillId="25" borderId="36" xfId="24" applyFont="1" applyFill="1" applyBorder="1" applyAlignment="1" applyProtection="1">
      <alignment vertical="center"/>
    </xf>
    <xf numFmtId="43" fontId="42" fillId="25" borderId="37" xfId="24" applyFont="1" applyFill="1" applyBorder="1" applyAlignment="1" applyProtection="1">
      <alignment vertical="center"/>
    </xf>
    <xf numFmtId="43" fontId="42" fillId="25" borderId="38" xfId="24" applyFont="1" applyFill="1" applyBorder="1" applyAlignment="1" applyProtection="1">
      <alignment vertical="center"/>
    </xf>
    <xf numFmtId="0" fontId="44" fillId="0" borderId="18" xfId="0" applyFont="1" applyBorder="1" applyAlignment="1" applyProtection="1">
      <alignment vertical="center"/>
    </xf>
    <xf numFmtId="0" fontId="35" fillId="0" borderId="8" xfId="53" applyFont="1" applyFill="1" applyBorder="1" applyAlignment="1">
      <alignment vertical="center" wrapText="1"/>
    </xf>
    <xf numFmtId="0" fontId="150" fillId="25" borderId="19" xfId="0" applyFont="1" applyFill="1" applyBorder="1" applyAlignment="1" applyProtection="1">
      <alignment horizontal="center" vertical="center"/>
    </xf>
    <xf numFmtId="1" fontId="150" fillId="32" borderId="4" xfId="0" applyNumberFormat="1" applyFont="1" applyFill="1" applyBorder="1" applyAlignment="1" applyProtection="1">
      <alignment horizontal="center" vertical="center"/>
    </xf>
    <xf numFmtId="0" fontId="34" fillId="0" borderId="56" xfId="0" applyFont="1" applyFill="1" applyBorder="1" applyAlignment="1" applyProtection="1">
      <alignment horizontal="center" vertical="center"/>
    </xf>
    <xf numFmtId="0" fontId="34" fillId="0" borderId="59" xfId="0" applyFont="1" applyFill="1" applyBorder="1" applyAlignment="1" applyProtection="1">
      <alignment horizontal="center" vertical="center"/>
    </xf>
    <xf numFmtId="0" fontId="34" fillId="0" borderId="64" xfId="0" applyFont="1" applyFill="1" applyBorder="1" applyAlignment="1" applyProtection="1">
      <alignment horizontal="center" vertical="center"/>
    </xf>
    <xf numFmtId="0" fontId="34" fillId="0" borderId="59" xfId="0" applyFont="1" applyFill="1" applyBorder="1" applyAlignment="1" applyProtection="1">
      <alignment horizontal="center" vertical="center"/>
      <protection locked="0"/>
    </xf>
    <xf numFmtId="0" fontId="34" fillId="0" borderId="64" xfId="0" applyFont="1" applyFill="1" applyBorder="1" applyAlignment="1" applyProtection="1">
      <alignment horizontal="center" vertical="center"/>
      <protection locked="0"/>
    </xf>
    <xf numFmtId="4" fontId="159" fillId="0" borderId="0" xfId="0" applyNumberFormat="1" applyFont="1" applyAlignment="1" applyProtection="1">
      <alignment vertical="center"/>
    </xf>
    <xf numFmtId="0" fontId="160" fillId="0" borderId="0" xfId="0" applyFont="1" applyAlignment="1" applyProtection="1">
      <alignment vertical="center"/>
    </xf>
    <xf numFmtId="1" fontId="35" fillId="0" borderId="32" xfId="54" quotePrefix="1" applyNumberFormat="1" applyFont="1" applyBorder="1" applyAlignment="1"/>
    <xf numFmtId="39" fontId="42" fillId="0" borderId="0" xfId="54" applyFont="1"/>
    <xf numFmtId="39" fontId="42" fillId="0" borderId="48" xfId="54" applyFont="1" applyFill="1" applyBorder="1" applyAlignment="1">
      <alignment horizontal="center"/>
    </xf>
    <xf numFmtId="39" fontId="42" fillId="0" borderId="45" xfId="54" applyFont="1" applyFill="1" applyBorder="1" applyAlignment="1">
      <alignment horizontal="center"/>
    </xf>
    <xf numFmtId="39" fontId="42" fillId="0" borderId="51" xfId="54" applyFont="1" applyFill="1" applyBorder="1" applyAlignment="1">
      <alignment horizontal="center"/>
    </xf>
    <xf numFmtId="39" fontId="42" fillId="0" borderId="10" xfId="54" applyFont="1" applyFill="1" applyBorder="1" applyAlignment="1">
      <alignment horizontal="center"/>
    </xf>
    <xf numFmtId="39" fontId="42" fillId="0" borderId="6" xfId="54" applyFont="1" applyFill="1" applyBorder="1" applyAlignment="1">
      <alignment horizontal="center"/>
    </xf>
    <xf numFmtId="39" fontId="42" fillId="9" borderId="99" xfId="54" applyFont="1" applyFill="1" applyBorder="1"/>
    <xf numFmtId="39" fontId="42" fillId="9" borderId="69" xfId="54" applyNumberFormat="1" applyFont="1" applyFill="1" applyBorder="1" applyAlignment="1" applyProtection="1">
      <alignment horizontal="right"/>
    </xf>
    <xf numFmtId="39" fontId="42" fillId="9" borderId="70" xfId="54" applyNumberFormat="1" applyFont="1" applyFill="1" applyBorder="1" applyAlignment="1" applyProtection="1">
      <alignment horizontal="right"/>
    </xf>
    <xf numFmtId="0" fontId="42" fillId="9" borderId="69" xfId="0" applyFont="1" applyFill="1" applyBorder="1"/>
    <xf numFmtId="193" fontId="54" fillId="0" borderId="36" xfId="0" applyNumberFormat="1" applyFont="1" applyBorder="1" applyAlignment="1">
      <alignment horizontal="center"/>
    </xf>
    <xf numFmtId="193" fontId="54" fillId="0" borderId="37" xfId="0" applyNumberFormat="1" applyFont="1" applyBorder="1" applyAlignment="1">
      <alignment horizontal="center"/>
    </xf>
    <xf numFmtId="43" fontId="42" fillId="0" borderId="0" xfId="51" applyNumberFormat="1" applyFont="1"/>
    <xf numFmtId="187" fontId="42" fillId="0" borderId="0" xfId="51" applyNumberFormat="1" applyFont="1"/>
    <xf numFmtId="226" fontId="42" fillId="0" borderId="0" xfId="51" applyNumberFormat="1" applyFont="1"/>
    <xf numFmtId="0" fontId="161" fillId="0" borderId="0" xfId="0" applyFont="1" applyAlignment="1" applyProtection="1">
      <alignment vertical="center"/>
    </xf>
    <xf numFmtId="0" fontId="161" fillId="0" borderId="0" xfId="0" applyFont="1" applyAlignment="1" applyProtection="1">
      <alignment horizontal="left" vertical="center"/>
    </xf>
    <xf numFmtId="0" fontId="161" fillId="0" borderId="0" xfId="0" applyFont="1" applyBorder="1" applyProtection="1"/>
    <xf numFmtId="0" fontId="161" fillId="0" borderId="0" xfId="0" applyFont="1" applyProtection="1"/>
    <xf numFmtId="0" fontId="161" fillId="0" borderId="18" xfId="0" applyFont="1" applyBorder="1" applyAlignment="1" applyProtection="1"/>
    <xf numFmtId="0" fontId="161" fillId="0" borderId="0" xfId="0" applyFont="1" applyAlignment="1" applyProtection="1">
      <alignment horizontal="left"/>
    </xf>
    <xf numFmtId="0" fontId="162" fillId="0" borderId="0" xfId="0" applyFont="1" applyAlignment="1" applyProtection="1">
      <alignment horizontal="left"/>
    </xf>
    <xf numFmtId="0" fontId="162" fillId="0" borderId="0" xfId="0" applyFont="1" applyProtection="1"/>
    <xf numFmtId="0" fontId="162" fillId="0" borderId="0" xfId="0" applyFont="1" applyAlignment="1" applyProtection="1">
      <alignment horizontal="left" vertical="center"/>
    </xf>
    <xf numFmtId="0" fontId="162" fillId="0" borderId="0" xfId="0" applyFont="1" applyAlignment="1" applyProtection="1">
      <alignment vertical="center"/>
    </xf>
    <xf numFmtId="0" fontId="163" fillId="0" borderId="0" xfId="0" applyFont="1" applyProtection="1"/>
    <xf numFmtId="0" fontId="161" fillId="0" borderId="0" xfId="0" applyFont="1" applyAlignment="1" applyProtection="1">
      <alignment horizontal="center"/>
    </xf>
    <xf numFmtId="0" fontId="161" fillId="0" borderId="0" xfId="0" applyFont="1" applyFill="1" applyAlignment="1" applyProtection="1"/>
    <xf numFmtId="3" fontId="161" fillId="0" borderId="0" xfId="0" applyNumberFormat="1" applyFont="1" applyFill="1" applyProtection="1"/>
    <xf numFmtId="0" fontId="161" fillId="0" borderId="0" xfId="0" applyFont="1" applyBorder="1" applyAlignment="1" applyProtection="1">
      <alignment vertical="center"/>
    </xf>
    <xf numFmtId="0" fontId="163" fillId="0" borderId="0" xfId="0" applyFont="1" applyBorder="1" applyAlignment="1" applyProtection="1"/>
    <xf numFmtId="0" fontId="161" fillId="0" borderId="0" xfId="0" applyFont="1" applyBorder="1" applyAlignment="1" applyProtection="1"/>
    <xf numFmtId="0" fontId="163" fillId="0" borderId="18" xfId="0" applyFont="1" applyBorder="1" applyAlignment="1" applyProtection="1"/>
    <xf numFmtId="0" fontId="163" fillId="0" borderId="0" xfId="0" applyFont="1" applyFill="1" applyBorder="1" applyAlignment="1" applyProtection="1">
      <alignment horizontal="center"/>
    </xf>
    <xf numFmtId="0" fontId="163" fillId="0" borderId="18" xfId="0" applyFont="1" applyFill="1" applyBorder="1" applyAlignment="1" applyProtection="1">
      <alignment horizontal="center"/>
    </xf>
    <xf numFmtId="0" fontId="163" fillId="0" borderId="0" xfId="0" applyFont="1" applyFill="1" applyBorder="1" applyAlignment="1" applyProtection="1">
      <alignment horizontal="left"/>
    </xf>
    <xf numFmtId="191" fontId="161" fillId="0" borderId="0" xfId="0" applyNumberFormat="1" applyFont="1" applyBorder="1" applyAlignment="1" applyProtection="1">
      <alignment horizontal="center"/>
    </xf>
    <xf numFmtId="0" fontId="161" fillId="0" borderId="0" xfId="0" applyFont="1" applyBorder="1" applyAlignment="1" applyProtection="1">
      <alignment horizontal="left"/>
    </xf>
    <xf numFmtId="3" fontId="161" fillId="0" borderId="0" xfId="0" applyNumberFormat="1" applyFont="1" applyBorder="1" applyProtection="1"/>
    <xf numFmtId="3" fontId="161" fillId="0" borderId="0" xfId="0" applyNumberFormat="1" applyFont="1" applyAlignment="1" applyProtection="1">
      <alignment horizontal="left"/>
    </xf>
    <xf numFmtId="0" fontId="164" fillId="0" borderId="0" xfId="0" applyFont="1" applyBorder="1" applyAlignment="1" applyProtection="1"/>
    <xf numFmtId="0" fontId="49" fillId="0" borderId="18" xfId="0" applyFont="1" applyBorder="1" applyAlignment="1" applyProtection="1">
      <alignment vertical="center"/>
    </xf>
    <xf numFmtId="189" fontId="162" fillId="0" borderId="18" xfId="0" applyNumberFormat="1" applyFont="1" applyBorder="1" applyAlignment="1" applyProtection="1">
      <alignment horizontal="center" vertical="center"/>
    </xf>
    <xf numFmtId="189" fontId="162" fillId="13" borderId="18" xfId="0" applyNumberFormat="1" applyFont="1" applyFill="1" applyBorder="1" applyAlignment="1" applyProtection="1">
      <alignment horizontal="center"/>
    </xf>
    <xf numFmtId="189" fontId="162" fillId="13" borderId="18" xfId="0" applyNumberFormat="1" applyFont="1" applyFill="1" applyBorder="1" applyAlignment="1" applyProtection="1"/>
    <xf numFmtId="0" fontId="42" fillId="0" borderId="1" xfId="0" applyFont="1" applyBorder="1" applyAlignment="1" applyProtection="1">
      <alignment vertical="center"/>
    </xf>
    <xf numFmtId="0" fontId="147" fillId="25" borderId="4" xfId="0" applyFont="1" applyFill="1" applyBorder="1" applyAlignment="1" applyProtection="1">
      <alignment vertical="center"/>
    </xf>
    <xf numFmtId="0" fontId="147" fillId="25" borderId="4" xfId="0" applyFont="1" applyFill="1" applyBorder="1" applyAlignment="1" applyProtection="1">
      <alignment horizontal="center" vertical="center"/>
    </xf>
    <xf numFmtId="193" fontId="54" fillId="0" borderId="35" xfId="0" applyNumberFormat="1" applyFont="1" applyBorder="1" applyAlignment="1">
      <alignment horizontal="center"/>
    </xf>
    <xf numFmtId="193" fontId="54" fillId="0" borderId="98" xfId="0" applyNumberFormat="1" applyFont="1" applyBorder="1" applyAlignment="1">
      <alignment horizontal="center"/>
    </xf>
    <xf numFmtId="193" fontId="54" fillId="0" borderId="70" xfId="0" applyNumberFormat="1" applyFont="1" applyBorder="1" applyAlignment="1">
      <alignment horizontal="center"/>
    </xf>
    <xf numFmtId="0" fontId="44" fillId="0" borderId="0" xfId="0" applyFont="1" applyProtection="1"/>
    <xf numFmtId="2" fontId="42" fillId="0" borderId="0" xfId="0" applyNumberFormat="1" applyFont="1"/>
    <xf numFmtId="0" fontId="118" fillId="0" borderId="19" xfId="0" applyFont="1" applyBorder="1" applyProtection="1"/>
    <xf numFmtId="43" fontId="34" fillId="33" borderId="59" xfId="24" applyFont="1" applyFill="1" applyBorder="1" applyAlignment="1" applyProtection="1">
      <alignment horizontal="center" vertical="center"/>
      <protection locked="0"/>
    </xf>
    <xf numFmtId="0" fontId="108" fillId="0" borderId="54" xfId="0" applyFont="1" applyBorder="1" applyAlignment="1">
      <alignment horizontal="center" vertical="center"/>
    </xf>
    <xf numFmtId="0" fontId="35" fillId="0" borderId="54" xfId="51" applyFont="1" applyFill="1" applyBorder="1" applyAlignment="1" applyProtection="1">
      <alignment vertical="center"/>
    </xf>
    <xf numFmtId="0" fontId="75" fillId="0" borderId="18" xfId="0" applyFont="1" applyBorder="1" applyAlignment="1" applyProtection="1">
      <alignment vertical="center"/>
    </xf>
    <xf numFmtId="0" fontId="49" fillId="0" borderId="18" xfId="0" applyFont="1" applyFill="1" applyBorder="1" applyAlignment="1" applyProtection="1">
      <alignment vertical="center"/>
      <protection locked="0"/>
    </xf>
    <xf numFmtId="0" fontId="77" fillId="0" borderId="18" xfId="0" applyFont="1" applyFill="1" applyBorder="1" applyAlignment="1" applyProtection="1">
      <alignment vertical="center"/>
      <protection locked="0"/>
    </xf>
    <xf numFmtId="0" fontId="75" fillId="0" borderId="18" xfId="0" applyFont="1" applyBorder="1" applyAlignment="1" applyProtection="1">
      <alignment horizontal="left" vertical="center"/>
    </xf>
    <xf numFmtId="189" fontId="49" fillId="0" borderId="18" xfId="0" applyNumberFormat="1" applyFont="1" applyFill="1" applyBorder="1" applyAlignment="1" applyProtection="1">
      <alignment horizontal="center" vertical="center"/>
      <protection locked="0"/>
    </xf>
    <xf numFmtId="189" fontId="75" fillId="13" borderId="18" xfId="0" applyNumberFormat="1" applyFont="1" applyFill="1" applyBorder="1" applyAlignment="1" applyProtection="1">
      <alignment vertical="center"/>
      <protection locked="0"/>
    </xf>
    <xf numFmtId="189" fontId="49" fillId="0" borderId="18" xfId="0" applyNumberFormat="1" applyFont="1" applyFill="1" applyBorder="1" applyAlignment="1" applyProtection="1">
      <alignment horizontal="center" vertical="center"/>
    </xf>
    <xf numFmtId="0" fontId="75" fillId="13" borderId="18" xfId="0" applyFont="1" applyFill="1" applyBorder="1" applyAlignment="1" applyProtection="1">
      <alignment vertical="center"/>
    </xf>
    <xf numFmtId="198" fontId="49" fillId="0" borderId="1" xfId="24" applyNumberFormat="1" applyFont="1" applyFill="1" applyBorder="1" applyAlignment="1" applyProtection="1">
      <alignment horizontal="center" vertical="center"/>
    </xf>
    <xf numFmtId="2" fontId="160" fillId="34" borderId="0" xfId="0" applyNumberFormat="1" applyFont="1" applyFill="1" applyAlignment="1" applyProtection="1">
      <alignment vertical="center"/>
    </xf>
    <xf numFmtId="0" fontId="44" fillId="26" borderId="19" xfId="51" applyFont="1" applyFill="1" applyBorder="1" applyAlignment="1" applyProtection="1">
      <alignment horizontal="center" vertical="center" wrapText="1"/>
    </xf>
    <xf numFmtId="0" fontId="165" fillId="33" borderId="1" xfId="0" applyFont="1" applyFill="1" applyBorder="1" applyAlignment="1" applyProtection="1">
      <alignment vertical="center"/>
    </xf>
    <xf numFmtId="3" fontId="165" fillId="33" borderId="41" xfId="0" applyNumberFormat="1" applyFont="1" applyFill="1" applyBorder="1" applyAlignment="1" applyProtection="1">
      <alignment vertical="center"/>
    </xf>
    <xf numFmtId="0" fontId="160" fillId="33" borderId="4" xfId="0" applyFont="1" applyFill="1" applyBorder="1" applyAlignment="1" applyProtection="1">
      <alignment horizontal="center" vertical="center"/>
    </xf>
    <xf numFmtId="43" fontId="160" fillId="33" borderId="1" xfId="24" applyNumberFormat="1" applyFont="1" applyFill="1" applyBorder="1" applyAlignment="1" applyProtection="1">
      <alignment vertical="center"/>
    </xf>
    <xf numFmtId="0" fontId="165" fillId="33" borderId="1" xfId="0" applyFont="1" applyFill="1" applyBorder="1" applyAlignment="1" applyProtection="1">
      <alignment horizontal="left" vertical="center"/>
    </xf>
    <xf numFmtId="0" fontId="165" fillId="33" borderId="41" xfId="0" applyFont="1" applyFill="1" applyBorder="1" applyAlignment="1" applyProtection="1">
      <alignment horizontal="center" vertical="center"/>
    </xf>
    <xf numFmtId="198" fontId="160" fillId="33" borderId="1" xfId="24" applyNumberFormat="1" applyFont="1" applyFill="1" applyBorder="1" applyAlignment="1" applyProtection="1">
      <alignment vertical="center"/>
    </xf>
    <xf numFmtId="0" fontId="165" fillId="33" borderId="4" xfId="0" applyFont="1" applyFill="1" applyBorder="1" applyAlignment="1" applyProtection="1">
      <alignment horizontal="center" vertical="center"/>
    </xf>
    <xf numFmtId="43" fontId="160" fillId="33" borderId="1" xfId="24" applyFont="1" applyFill="1" applyBorder="1" applyAlignment="1" applyProtection="1">
      <alignment vertical="center"/>
    </xf>
    <xf numFmtId="0" fontId="165" fillId="33" borderId="4" xfId="0" applyFont="1" applyFill="1" applyBorder="1" applyAlignment="1" applyProtection="1">
      <alignment vertical="center"/>
    </xf>
    <xf numFmtId="43" fontId="160" fillId="33" borderId="4" xfId="24" applyFont="1" applyFill="1" applyBorder="1" applyAlignment="1" applyProtection="1">
      <alignment horizontal="center" vertical="center"/>
    </xf>
    <xf numFmtId="0" fontId="165" fillId="33" borderId="4" xfId="0" applyFont="1" applyFill="1" applyBorder="1" applyAlignment="1" applyProtection="1">
      <alignment horizontal="left" vertical="center"/>
    </xf>
    <xf numFmtId="3" fontId="165" fillId="33" borderId="26" xfId="0" applyNumberFormat="1" applyFont="1" applyFill="1" applyBorder="1" applyAlignment="1" applyProtection="1">
      <alignment vertical="center"/>
    </xf>
    <xf numFmtId="0" fontId="165" fillId="33" borderId="26" xfId="0" applyFont="1" applyFill="1" applyBorder="1" applyAlignment="1" applyProtection="1">
      <alignment horizontal="center" vertical="center"/>
    </xf>
    <xf numFmtId="43" fontId="35" fillId="0" borderId="4" xfId="24" applyNumberFormat="1" applyFont="1" applyFill="1" applyBorder="1" applyAlignment="1">
      <alignment horizontal="center" vertical="center"/>
    </xf>
    <xf numFmtId="0" fontId="49" fillId="0" borderId="18" xfId="51" applyFont="1" applyFill="1" applyBorder="1" applyAlignment="1" applyProtection="1">
      <alignment vertical="center"/>
    </xf>
    <xf numFmtId="0" fontId="89" fillId="0" borderId="18" xfId="51" applyFont="1" applyFill="1" applyBorder="1" applyAlignment="1" applyProtection="1">
      <alignment vertical="center"/>
    </xf>
    <xf numFmtId="0" fontId="49" fillId="0" borderId="18" xfId="51" applyFont="1" applyFill="1" applyBorder="1" applyAlignment="1" applyProtection="1">
      <alignment vertical="center"/>
      <protection locked="0"/>
    </xf>
    <xf numFmtId="0" fontId="79" fillId="0" borderId="18" xfId="51" applyFont="1" applyFill="1" applyBorder="1" applyAlignment="1" applyProtection="1">
      <alignment vertical="center"/>
      <protection locked="0"/>
    </xf>
    <xf numFmtId="0" fontId="42" fillId="0" borderId="18" xfId="51" applyFont="1" applyBorder="1"/>
    <xf numFmtId="189" fontId="49" fillId="0" borderId="18" xfId="51" applyNumberFormat="1" applyFont="1" applyFill="1" applyBorder="1" applyAlignment="1" applyProtection="1">
      <alignment horizontal="center"/>
    </xf>
    <xf numFmtId="189" fontId="49" fillId="0" borderId="18" xfId="51" applyNumberFormat="1" applyFont="1" applyFill="1" applyBorder="1" applyAlignment="1" applyProtection="1">
      <alignment horizontal="center" vertical="center"/>
      <protection locked="0"/>
    </xf>
    <xf numFmtId="189" fontId="49" fillId="0" borderId="18" xfId="51" applyNumberFormat="1" applyFont="1" applyFill="1" applyBorder="1" applyAlignment="1" applyProtection="1">
      <alignment vertical="center"/>
      <protection locked="0"/>
    </xf>
    <xf numFmtId="189" fontId="89" fillId="13" borderId="18" xfId="51" applyNumberFormat="1" applyFont="1" applyFill="1" applyBorder="1" applyAlignment="1" applyProtection="1">
      <alignment vertical="center"/>
      <protection locked="0"/>
    </xf>
    <xf numFmtId="0" fontId="35" fillId="0" borderId="0" xfId="0" applyFont="1" applyAlignment="1">
      <alignment horizontal="center"/>
    </xf>
    <xf numFmtId="0" fontId="35" fillId="0" borderId="4" xfId="0" applyFont="1" applyBorder="1" applyAlignment="1">
      <alignment horizontal="center"/>
    </xf>
    <xf numFmtId="2" fontId="35" fillId="0" borderId="4" xfId="0" applyNumberFormat="1" applyFont="1" applyBorder="1" applyAlignment="1">
      <alignment horizontal="center"/>
    </xf>
    <xf numFmtId="2" fontId="35" fillId="31" borderId="4" xfId="0" applyNumberFormat="1" applyFont="1" applyFill="1" applyBorder="1" applyAlignment="1">
      <alignment horizontal="center"/>
    </xf>
    <xf numFmtId="0" fontId="35" fillId="0" borderId="0" xfId="0" applyFont="1" applyAlignment="1"/>
    <xf numFmtId="0" fontId="47" fillId="0" borderId="0" xfId="84" applyFont="1"/>
    <xf numFmtId="0" fontId="47" fillId="0" borderId="0" xfId="84" applyFont="1" applyAlignment="1">
      <alignment horizontal="center"/>
    </xf>
    <xf numFmtId="0" fontId="34" fillId="35" borderId="4" xfId="0" applyFont="1" applyFill="1" applyBorder="1" applyAlignment="1">
      <alignment horizontal="center" vertical="center" wrapText="1"/>
    </xf>
    <xf numFmtId="0" fontId="34" fillId="35" borderId="4" xfId="0" applyFont="1" applyFill="1" applyBorder="1" applyAlignment="1">
      <alignment horizontal="center" vertical="center"/>
    </xf>
    <xf numFmtId="0" fontId="167" fillId="0" borderId="0" xfId="0" applyFont="1" applyAlignment="1"/>
    <xf numFmtId="4" fontId="42" fillId="0" borderId="0" xfId="51" applyNumberFormat="1" applyFont="1" applyBorder="1" applyAlignment="1">
      <alignment horizontal="center"/>
    </xf>
    <xf numFmtId="0" fontId="44" fillId="0" borderId="22" xfId="0" applyFont="1" applyFill="1" applyBorder="1" applyAlignment="1" applyProtection="1">
      <alignment horizontal="center" vertical="center"/>
    </xf>
    <xf numFmtId="0" fontId="44" fillId="0" borderId="20" xfId="0" applyFont="1" applyFill="1" applyBorder="1" applyAlignment="1" applyProtection="1">
      <alignment horizontal="center" vertical="center"/>
    </xf>
    <xf numFmtId="39" fontId="42" fillId="0" borderId="59" xfId="0" applyNumberFormat="1" applyFont="1" applyFill="1" applyBorder="1" applyAlignment="1" applyProtection="1">
      <alignment horizontal="left" vertical="center"/>
    </xf>
    <xf numFmtId="39" fontId="42" fillId="0" borderId="59" xfId="0" applyNumberFormat="1" applyFont="1" applyBorder="1" applyAlignment="1" applyProtection="1">
      <alignment horizontal="left" vertical="center"/>
    </xf>
    <xf numFmtId="198" fontId="42" fillId="0" borderId="56" xfId="24" applyNumberFormat="1" applyFont="1" applyBorder="1"/>
    <xf numFmtId="198" fontId="42" fillId="0" borderId="59" xfId="24" applyNumberFormat="1" applyFont="1" applyBorder="1"/>
    <xf numFmtId="198" fontId="42" fillId="0" borderId="59" xfId="24" applyNumberFormat="1" applyFont="1" applyBorder="1" applyAlignment="1">
      <alignment vertical="center"/>
    </xf>
    <xf numFmtId="39" fontId="49" fillId="0" borderId="59" xfId="0" applyNumberFormat="1" applyFont="1" applyBorder="1" applyAlignment="1" applyProtection="1">
      <alignment horizontal="left" vertical="center"/>
    </xf>
    <xf numFmtId="0" fontId="42" fillId="0" borderId="56" xfId="0" applyFont="1" applyBorder="1" applyAlignment="1">
      <alignment horizontal="center"/>
    </xf>
    <xf numFmtId="0" fontId="42" fillId="25" borderId="22" xfId="0" applyFont="1" applyFill="1" applyBorder="1" applyAlignment="1" applyProtection="1">
      <alignment vertical="center"/>
    </xf>
    <xf numFmtId="0" fontId="49" fillId="25" borderId="24" xfId="51" applyFont="1" applyFill="1" applyBorder="1" applyAlignment="1">
      <alignment vertical="center"/>
    </xf>
    <xf numFmtId="0" fontId="42" fillId="25" borderId="25" xfId="0" applyFont="1" applyFill="1" applyBorder="1" applyAlignment="1" applyProtection="1">
      <alignment vertical="center"/>
    </xf>
    <xf numFmtId="0" fontId="42" fillId="25" borderId="18" xfId="0" applyFont="1" applyFill="1" applyBorder="1" applyAlignment="1" applyProtection="1">
      <alignment vertical="center"/>
    </xf>
    <xf numFmtId="0" fontId="42" fillId="25" borderId="19" xfId="0" applyFont="1" applyFill="1" applyBorder="1" applyAlignment="1" applyProtection="1">
      <alignment horizontal="center" vertical="center"/>
    </xf>
    <xf numFmtId="0" fontId="49" fillId="25" borderId="10" xfId="51" applyFont="1" applyFill="1" applyBorder="1" applyAlignment="1">
      <alignment vertical="center"/>
    </xf>
    <xf numFmtId="0" fontId="42" fillId="25" borderId="21" xfId="0" applyFont="1" applyFill="1" applyBorder="1" applyAlignment="1" applyProtection="1">
      <alignment vertical="center"/>
    </xf>
    <xf numFmtId="0" fontId="49" fillId="25" borderId="5" xfId="51" applyFont="1" applyFill="1" applyBorder="1" applyAlignment="1">
      <alignment vertical="center"/>
    </xf>
    <xf numFmtId="39" fontId="42" fillId="0" borderId="4" xfId="0" applyNumberFormat="1" applyFont="1" applyBorder="1" applyAlignment="1" applyProtection="1">
      <alignment horizontal="left" vertical="center"/>
    </xf>
    <xf numFmtId="198" fontId="42" fillId="0" borderId="4" xfId="24" applyNumberFormat="1" applyFont="1" applyBorder="1"/>
    <xf numFmtId="39" fontId="42" fillId="0" borderId="56" xfId="0" applyNumberFormat="1" applyFont="1" applyFill="1" applyBorder="1" applyAlignment="1" applyProtection="1">
      <alignment horizontal="left" vertical="center"/>
    </xf>
    <xf numFmtId="0" fontId="42" fillId="0" borderId="100" xfId="0" applyFont="1" applyBorder="1" applyAlignment="1" applyProtection="1">
      <alignment vertical="center"/>
    </xf>
    <xf numFmtId="0" fontId="42" fillId="0" borderId="54" xfId="0" applyFont="1" applyBorder="1" applyAlignment="1" applyProtection="1">
      <alignment horizontal="center" vertical="center"/>
    </xf>
    <xf numFmtId="187" fontId="42" fillId="0" borderId="54" xfId="0" applyNumberFormat="1" applyFont="1" applyBorder="1" applyAlignment="1" applyProtection="1">
      <alignment vertical="center"/>
    </xf>
    <xf numFmtId="43" fontId="42" fillId="0" borderId="54" xfId="0" applyNumberFormat="1" applyFont="1" applyBorder="1" applyAlignment="1" applyProtection="1">
      <alignment vertical="center"/>
    </xf>
    <xf numFmtId="202" fontId="42" fillId="0" borderId="101" xfId="0" applyNumberFormat="1" applyFont="1" applyBorder="1" applyAlignment="1" applyProtection="1">
      <alignment vertical="center"/>
    </xf>
    <xf numFmtId="43" fontId="42" fillId="0" borderId="101" xfId="0" applyNumberFormat="1" applyFont="1" applyBorder="1" applyAlignment="1" applyProtection="1">
      <alignment vertical="center"/>
    </xf>
    <xf numFmtId="0" fontId="42" fillId="0" borderId="101" xfId="0" applyFont="1" applyBorder="1" applyAlignment="1" applyProtection="1">
      <alignment vertical="center"/>
    </xf>
    <xf numFmtId="0" fontId="42" fillId="0" borderId="55" xfId="0" applyFont="1" applyBorder="1" applyAlignment="1" applyProtection="1">
      <alignment vertical="center"/>
    </xf>
    <xf numFmtId="0" fontId="42" fillId="0" borderId="61" xfId="0" applyFont="1" applyBorder="1" applyAlignment="1" applyProtection="1">
      <alignment vertical="center"/>
    </xf>
    <xf numFmtId="0" fontId="42" fillId="0" borderId="59" xfId="0" applyFont="1" applyBorder="1" applyAlignment="1" applyProtection="1">
      <alignment horizontal="center" vertical="center"/>
    </xf>
    <xf numFmtId="187" fontId="42" fillId="0" borderId="59" xfId="0" applyNumberFormat="1" applyFont="1" applyBorder="1" applyAlignment="1" applyProtection="1">
      <alignment vertical="center"/>
    </xf>
    <xf numFmtId="43" fontId="42" fillId="0" borderId="59" xfId="0" applyNumberFormat="1" applyFont="1" applyBorder="1" applyAlignment="1" applyProtection="1">
      <alignment vertical="center"/>
    </xf>
    <xf numFmtId="202" fontId="42" fillId="0" borderId="66" xfId="0" applyNumberFormat="1" applyFont="1" applyBorder="1" applyAlignment="1" applyProtection="1">
      <alignment vertical="center"/>
    </xf>
    <xf numFmtId="43" fontId="42" fillId="0" borderId="66" xfId="0" applyNumberFormat="1" applyFont="1" applyBorder="1" applyAlignment="1" applyProtection="1">
      <alignment vertical="center"/>
    </xf>
    <xf numFmtId="0" fontId="45" fillId="0" borderId="66" xfId="0" applyFont="1" applyBorder="1" applyAlignment="1" applyProtection="1">
      <alignment vertical="center"/>
    </xf>
    <xf numFmtId="0" fontId="45" fillId="0" borderId="60" xfId="0" applyFont="1" applyBorder="1" applyAlignment="1" applyProtection="1">
      <alignment vertical="center"/>
    </xf>
    <xf numFmtId="0" fontId="42" fillId="0" borderId="66" xfId="0" applyFont="1" applyBorder="1" applyAlignment="1" applyProtection="1">
      <alignment vertical="center"/>
    </xf>
    <xf numFmtId="0" fontId="42" fillId="0" borderId="60" xfId="0" applyFont="1" applyBorder="1" applyAlignment="1" applyProtection="1">
      <alignment vertical="center"/>
    </xf>
    <xf numFmtId="41" fontId="42" fillId="0" borderId="59" xfId="0" applyNumberFormat="1" applyFont="1" applyFill="1" applyBorder="1" applyAlignment="1" applyProtection="1">
      <alignment vertical="center"/>
    </xf>
    <xf numFmtId="41" fontId="157" fillId="0" borderId="54" xfId="0" applyNumberFormat="1" applyFont="1" applyFill="1" applyBorder="1" applyAlignment="1" applyProtection="1">
      <alignment vertical="center"/>
    </xf>
    <xf numFmtId="49" fontId="42" fillId="0" borderId="100" xfId="0" applyNumberFormat="1" applyFont="1" applyBorder="1" applyAlignment="1" applyProtection="1">
      <alignment vertical="center"/>
    </xf>
    <xf numFmtId="49" fontId="42" fillId="0" borderId="61" xfId="0" applyNumberFormat="1" applyFont="1" applyBorder="1" applyAlignment="1" applyProtection="1">
      <alignment vertical="center"/>
    </xf>
    <xf numFmtId="43" fontId="42" fillId="0" borderId="66" xfId="0" applyNumberFormat="1" applyFont="1" applyBorder="1" applyAlignment="1" applyProtection="1">
      <alignment horizontal="center" vertical="center"/>
    </xf>
    <xf numFmtId="43" fontId="35" fillId="0" borderId="101" xfId="0" applyNumberFormat="1" applyFont="1" applyBorder="1" applyAlignment="1" applyProtection="1">
      <alignment vertical="center"/>
    </xf>
    <xf numFmtId="39" fontId="42" fillId="0" borderId="61" xfId="0" applyNumberFormat="1" applyFont="1" applyBorder="1" applyAlignment="1" applyProtection="1">
      <alignment horizontal="left" vertical="center"/>
    </xf>
    <xf numFmtId="187" fontId="42" fillId="0" borderId="60" xfId="0" applyNumberFormat="1" applyFont="1" applyBorder="1" applyAlignment="1" applyProtection="1">
      <alignment vertical="center"/>
    </xf>
    <xf numFmtId="39" fontId="42" fillId="0" borderId="59" xfId="0" applyNumberFormat="1" applyFont="1" applyBorder="1" applyAlignment="1" applyProtection="1">
      <alignment horizontal="center" vertical="center"/>
    </xf>
    <xf numFmtId="0" fontId="42" fillId="0" borderId="100" xfId="0" applyFont="1" applyBorder="1" applyAlignment="1" applyProtection="1">
      <alignment horizontal="right" vertical="center"/>
    </xf>
    <xf numFmtId="39" fontId="42" fillId="0" borderId="54" xfId="0" applyNumberFormat="1" applyFont="1" applyBorder="1" applyAlignment="1" applyProtection="1">
      <alignment horizontal="center" vertical="center"/>
    </xf>
    <xf numFmtId="0" fontId="42" fillId="0" borderId="61" xfId="0" applyFont="1" applyBorder="1" applyAlignment="1" applyProtection="1">
      <alignment horizontal="right" vertical="center"/>
    </xf>
    <xf numFmtId="39" fontId="42" fillId="0" borderId="100" xfId="0" applyNumberFormat="1" applyFont="1" applyBorder="1" applyAlignment="1" applyProtection="1">
      <alignment horizontal="left" vertical="center"/>
    </xf>
    <xf numFmtId="187" fontId="42" fillId="0" borderId="55" xfId="0" applyNumberFormat="1" applyFont="1" applyBorder="1" applyAlignment="1" applyProtection="1">
      <alignment vertical="center"/>
    </xf>
    <xf numFmtId="39" fontId="42" fillId="0" borderId="61" xfId="0" applyNumberFormat="1" applyFont="1" applyFill="1" applyBorder="1" applyAlignment="1" applyProtection="1">
      <alignment horizontal="left" vertical="center"/>
    </xf>
    <xf numFmtId="0" fontId="49" fillId="25" borderId="20" xfId="51" applyFont="1" applyFill="1" applyBorder="1" applyAlignment="1">
      <alignment vertical="center"/>
    </xf>
    <xf numFmtId="0" fontId="42" fillId="0" borderId="102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39" fontId="42" fillId="0" borderId="61" xfId="0" applyNumberFormat="1" applyFont="1" applyFill="1" applyBorder="1" applyAlignment="1" applyProtection="1">
      <alignment horizontal="center" vertical="center"/>
    </xf>
    <xf numFmtId="39" fontId="49" fillId="0" borderId="61" xfId="0" applyNumberFormat="1" applyFont="1" applyFill="1" applyBorder="1" applyAlignment="1" applyProtection="1">
      <alignment horizontal="left" vertical="center"/>
    </xf>
    <xf numFmtId="39" fontId="42" fillId="0" borderId="61" xfId="0" applyNumberFormat="1" applyFont="1" applyFill="1" applyBorder="1" applyAlignment="1" applyProtection="1">
      <alignment vertical="center"/>
    </xf>
    <xf numFmtId="39" fontId="42" fillId="33" borderId="59" xfId="0" applyNumberFormat="1" applyFont="1" applyFill="1" applyBorder="1" applyAlignment="1" applyProtection="1">
      <alignment horizontal="center" vertical="center"/>
    </xf>
    <xf numFmtId="187" fontId="42" fillId="33" borderId="59" xfId="0" applyNumberFormat="1" applyFont="1" applyFill="1" applyBorder="1" applyAlignment="1" applyProtection="1">
      <alignment vertical="center"/>
    </xf>
    <xf numFmtId="43" fontId="42" fillId="33" borderId="59" xfId="0" applyNumberFormat="1" applyFont="1" applyFill="1" applyBorder="1" applyAlignment="1" applyProtection="1">
      <alignment vertical="center"/>
    </xf>
    <xf numFmtId="0" fontId="42" fillId="33" borderId="66" xfId="0" applyFont="1" applyFill="1" applyBorder="1" applyAlignment="1" applyProtection="1">
      <alignment vertical="center"/>
    </xf>
    <xf numFmtId="0" fontId="42" fillId="33" borderId="60" xfId="0" applyFont="1" applyFill="1" applyBorder="1" applyAlignment="1" applyProtection="1">
      <alignment vertical="center"/>
    </xf>
    <xf numFmtId="39" fontId="157" fillId="0" borderId="61" xfId="0" applyNumberFormat="1" applyFont="1" applyBorder="1" applyAlignment="1" applyProtection="1">
      <alignment horizontal="left" vertical="center"/>
    </xf>
    <xf numFmtId="0" fontId="157" fillId="0" borderId="60" xfId="0" applyFont="1" applyBorder="1" applyAlignment="1" applyProtection="1">
      <alignment vertical="center"/>
    </xf>
    <xf numFmtId="39" fontId="157" fillId="0" borderId="61" xfId="0" applyNumberFormat="1" applyFont="1" applyFill="1" applyBorder="1" applyAlignment="1" applyProtection="1">
      <alignment horizontal="left" vertical="center"/>
    </xf>
    <xf numFmtId="39" fontId="42" fillId="0" borderId="100" xfId="0" applyNumberFormat="1" applyFont="1" applyFill="1" applyBorder="1" applyAlignment="1" applyProtection="1">
      <alignment horizontal="center" vertical="center"/>
    </xf>
    <xf numFmtId="43" fontId="55" fillId="0" borderId="54" xfId="0" applyNumberFormat="1" applyFont="1" applyBorder="1" applyAlignment="1" applyProtection="1">
      <alignment vertical="center"/>
    </xf>
    <xf numFmtId="43" fontId="55" fillId="0" borderId="59" xfId="0" applyNumberFormat="1" applyFont="1" applyBorder="1" applyAlignment="1" applyProtection="1">
      <alignment vertical="center"/>
    </xf>
    <xf numFmtId="43" fontId="42" fillId="0" borderId="66" xfId="24" applyFont="1" applyBorder="1" applyAlignment="1" applyProtection="1">
      <alignment vertical="center"/>
    </xf>
    <xf numFmtId="39" fontId="42" fillId="0" borderId="60" xfId="0" applyNumberFormat="1" applyFont="1" applyFill="1" applyBorder="1" applyAlignment="1" applyProtection="1">
      <alignment horizontal="left" vertical="center"/>
    </xf>
    <xf numFmtId="0" fontId="42" fillId="0" borderId="66" xfId="0" applyFont="1" applyBorder="1" applyAlignment="1" applyProtection="1">
      <alignment horizontal="center"/>
    </xf>
    <xf numFmtId="224" fontId="42" fillId="0" borderId="21" xfId="0" applyNumberFormat="1" applyFont="1" applyBorder="1" applyAlignment="1" applyProtection="1">
      <alignment horizontal="right"/>
    </xf>
    <xf numFmtId="0" fontId="42" fillId="0" borderId="0" xfId="0" applyFont="1" applyFill="1" applyBorder="1" applyAlignment="1" applyProtection="1">
      <alignment vertical="center"/>
    </xf>
    <xf numFmtId="224" fontId="42" fillId="0" borderId="0" xfId="0" applyNumberFormat="1" applyFont="1" applyBorder="1" applyAlignment="1" applyProtection="1">
      <alignment horizontal="right" vertical="center"/>
    </xf>
    <xf numFmtId="39" fontId="42" fillId="0" borderId="55" xfId="0" applyNumberFormat="1" applyFont="1" applyFill="1" applyBorder="1" applyAlignment="1" applyProtection="1">
      <alignment horizontal="left" vertical="center"/>
    </xf>
    <xf numFmtId="0" fontId="34" fillId="0" borderId="0" xfId="0" applyFont="1" applyAlignment="1" applyProtection="1"/>
    <xf numFmtId="4" fontId="44" fillId="0" borderId="0" xfId="55" applyFont="1" applyAlignment="1" applyProtection="1">
      <alignment horizontal="right"/>
    </xf>
    <xf numFmtId="0" fontId="42" fillId="0" borderId="100" xfId="0" applyFont="1" applyFill="1" applyBorder="1" applyAlignment="1" applyProtection="1">
      <alignment vertical="center"/>
    </xf>
    <xf numFmtId="0" fontId="42" fillId="0" borderId="101" xfId="0" applyFont="1" applyBorder="1" applyAlignment="1" applyProtection="1">
      <alignment horizontal="center"/>
    </xf>
    <xf numFmtId="0" fontId="3" fillId="0" borderId="0" xfId="0" applyFont="1"/>
    <xf numFmtId="4" fontId="44" fillId="0" borderId="0" xfId="0" applyNumberFormat="1" applyFont="1" applyFill="1" applyProtection="1"/>
    <xf numFmtId="0" fontId="40" fillId="0" borderId="0" xfId="0" applyFont="1" applyBorder="1" applyAlignment="1" applyProtection="1"/>
    <xf numFmtId="1" fontId="40" fillId="0" borderId="0" xfId="0" applyNumberFormat="1" applyFont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44" fillId="0" borderId="0" xfId="0" applyFont="1" applyAlignment="1" applyProtection="1">
      <alignment horizontal="left"/>
    </xf>
    <xf numFmtId="0" fontId="42" fillId="0" borderId="0" xfId="0" applyFont="1" applyAlignment="1" applyProtection="1">
      <alignment horizontal="left"/>
    </xf>
    <xf numFmtId="0" fontId="44" fillId="0" borderId="0" xfId="0" applyFont="1" applyFill="1" applyAlignment="1" applyProtection="1"/>
    <xf numFmtId="189" fontId="42" fillId="0" borderId="0" xfId="0" applyNumberFormat="1" applyFont="1" applyFill="1" applyBorder="1" applyAlignment="1" applyProtection="1">
      <alignment horizontal="center"/>
    </xf>
    <xf numFmtId="3" fontId="44" fillId="0" borderId="0" xfId="0" applyNumberFormat="1" applyFont="1" applyFill="1" applyProtection="1"/>
    <xf numFmtId="0" fontId="44" fillId="0" borderId="0" xfId="0" applyFont="1" applyBorder="1" applyProtection="1"/>
    <xf numFmtId="0" fontId="42" fillId="0" borderId="0" xfId="0" applyFont="1" applyFill="1" applyBorder="1" applyAlignment="1" applyProtection="1">
      <alignment horizontal="center"/>
    </xf>
    <xf numFmtId="0" fontId="44" fillId="0" borderId="0" xfId="0" applyFont="1" applyBorder="1" applyAlignment="1" applyProtection="1"/>
    <xf numFmtId="0" fontId="44" fillId="0" borderId="0" xfId="0" applyFont="1" applyFill="1" applyBorder="1" applyAlignment="1" applyProtection="1">
      <alignment horizontal="center"/>
    </xf>
    <xf numFmtId="39" fontId="34" fillId="0" borderId="18" xfId="0" applyNumberFormat="1" applyFont="1" applyFill="1" applyBorder="1" applyAlignment="1" applyProtection="1">
      <alignment horizontal="center"/>
    </xf>
    <xf numFmtId="0" fontId="42" fillId="33" borderId="0" xfId="0" applyFont="1" applyFill="1" applyProtection="1"/>
    <xf numFmtId="189" fontId="44" fillId="33" borderId="0" xfId="0" applyNumberFormat="1" applyFont="1" applyFill="1" applyAlignment="1" applyProtection="1">
      <alignment horizontal="center"/>
    </xf>
    <xf numFmtId="0" fontId="44" fillId="33" borderId="0" xfId="0" applyFont="1" applyFill="1" applyAlignment="1" applyProtection="1">
      <alignment horizontal="center"/>
    </xf>
    <xf numFmtId="2" fontId="44" fillId="33" borderId="0" xfId="0" applyNumberFormat="1" applyFont="1" applyFill="1" applyAlignment="1" applyProtection="1">
      <alignment horizontal="center"/>
    </xf>
    <xf numFmtId="3" fontId="44" fillId="33" borderId="0" xfId="0" applyNumberFormat="1" applyFont="1" applyFill="1" applyAlignment="1" applyProtection="1">
      <alignment horizontal="left"/>
    </xf>
    <xf numFmtId="3" fontId="42" fillId="33" borderId="0" xfId="0" applyNumberFormat="1" applyFont="1" applyFill="1" applyProtection="1"/>
    <xf numFmtId="0" fontId="42" fillId="33" borderId="0" xfId="0" applyFont="1" applyFill="1" applyBorder="1" applyProtection="1"/>
    <xf numFmtId="191" fontId="44" fillId="33" borderId="0" xfId="0" applyNumberFormat="1" applyFont="1" applyFill="1" applyBorder="1" applyAlignment="1" applyProtection="1">
      <alignment horizontal="center"/>
    </xf>
    <xf numFmtId="0" fontId="44" fillId="33" borderId="0" xfId="0" applyFont="1" applyFill="1" applyBorder="1" applyAlignment="1" applyProtection="1">
      <alignment horizontal="left"/>
    </xf>
    <xf numFmtId="3" fontId="44" fillId="33" borderId="0" xfId="0" applyNumberFormat="1" applyFont="1" applyFill="1" applyBorder="1" applyProtection="1"/>
    <xf numFmtId="0" fontId="42" fillId="33" borderId="0" xfId="0" applyFont="1" applyFill="1" applyBorder="1" applyAlignment="1" applyProtection="1"/>
    <xf numFmtId="203" fontId="42" fillId="33" borderId="0" xfId="0" applyNumberFormat="1" applyFont="1" applyFill="1" applyBorder="1" applyAlignment="1" applyProtection="1">
      <alignment horizontal="center"/>
    </xf>
    <xf numFmtId="0" fontId="42" fillId="33" borderId="0" xfId="0" applyFont="1" applyFill="1" applyBorder="1" applyAlignment="1" applyProtection="1">
      <alignment horizontal="center"/>
    </xf>
    <xf numFmtId="189" fontId="42" fillId="33" borderId="0" xfId="0" applyNumberFormat="1" applyFont="1" applyFill="1" applyBorder="1" applyAlignment="1" applyProtection="1">
      <alignment horizontal="center"/>
    </xf>
    <xf numFmtId="0" fontId="42" fillId="33" borderId="0" xfId="0" applyFont="1" applyFill="1" applyBorder="1" applyAlignment="1" applyProtection="1">
      <alignment horizontal="left"/>
    </xf>
    <xf numFmtId="189" fontId="44" fillId="33" borderId="0" xfId="0" applyNumberFormat="1" applyFont="1" applyFill="1" applyBorder="1" applyAlignment="1" applyProtection="1">
      <alignment horizontal="center"/>
    </xf>
    <xf numFmtId="0" fontId="42" fillId="33" borderId="18" xfId="0" applyFont="1" applyFill="1" applyBorder="1" applyAlignment="1" applyProtection="1"/>
    <xf numFmtId="0" fontId="42" fillId="33" borderId="18" xfId="0" applyFont="1" applyFill="1" applyBorder="1" applyAlignment="1" applyProtection="1">
      <alignment horizontal="center"/>
    </xf>
    <xf numFmtId="0" fontId="49" fillId="25" borderId="23" xfId="51" applyFont="1" applyFill="1" applyBorder="1" applyAlignment="1">
      <alignment vertical="center"/>
    </xf>
    <xf numFmtId="0" fontId="49" fillId="25" borderId="26" xfId="51" applyFont="1" applyFill="1" applyBorder="1" applyAlignment="1">
      <alignment vertical="center"/>
    </xf>
    <xf numFmtId="0" fontId="168" fillId="0" borderId="0" xfId="0" applyFont="1" applyAlignment="1" applyProtection="1">
      <alignment horizontal="center" vertical="center"/>
    </xf>
    <xf numFmtId="0" fontId="168" fillId="0" borderId="0" xfId="0" applyFont="1" applyBorder="1" applyAlignment="1" applyProtection="1">
      <alignment horizontal="center" vertical="center"/>
    </xf>
    <xf numFmtId="0" fontId="49" fillId="0" borderId="20" xfId="0" applyFont="1" applyBorder="1" applyAlignment="1" applyProtection="1">
      <alignment vertical="center"/>
    </xf>
    <xf numFmtId="0" fontId="49" fillId="0" borderId="23" xfId="0" applyFont="1" applyBorder="1" applyAlignment="1" applyProtection="1">
      <alignment vertical="center"/>
    </xf>
    <xf numFmtId="0" fontId="49" fillId="0" borderId="26" xfId="0" applyFont="1" applyBorder="1" applyAlignment="1" applyProtection="1">
      <alignment vertical="center"/>
    </xf>
    <xf numFmtId="0" fontId="0" fillId="0" borderId="23" xfId="0" applyBorder="1"/>
    <xf numFmtId="0" fontId="44" fillId="0" borderId="24" xfId="0" applyFont="1" applyFill="1" applyBorder="1" applyAlignment="1" applyProtection="1">
      <alignment horizontal="center" vertical="center"/>
    </xf>
    <xf numFmtId="4" fontId="53" fillId="0" borderId="19" xfId="0" applyNumberFormat="1" applyFont="1" applyBorder="1" applyAlignment="1" applyProtection="1">
      <alignment horizontal="right" vertical="center"/>
    </xf>
    <xf numFmtId="4" fontId="53" fillId="0" borderId="22" xfId="0" applyNumberFormat="1" applyFont="1" applyBorder="1" applyAlignment="1" applyProtection="1">
      <alignment horizontal="right" vertical="center"/>
    </xf>
    <xf numFmtId="43" fontId="53" fillId="0" borderId="22" xfId="0" applyNumberFormat="1" applyFont="1" applyBorder="1" applyAlignment="1" applyProtection="1">
      <alignment horizontal="right" vertical="center"/>
    </xf>
    <xf numFmtId="4" fontId="42" fillId="0" borderId="24" xfId="0" applyNumberFormat="1" applyFont="1" applyBorder="1" applyAlignment="1" applyProtection="1"/>
    <xf numFmtId="0" fontId="87" fillId="0" borderId="0" xfId="0" applyFont="1" applyAlignment="1" applyProtection="1"/>
    <xf numFmtId="3" fontId="34" fillId="0" borderId="0" xfId="0" applyNumberFormat="1" applyFont="1" applyAlignment="1" applyProtection="1"/>
    <xf numFmtId="3" fontId="42" fillId="0" borderId="0" xfId="0" applyNumberFormat="1" applyFont="1" applyAlignment="1" applyProtection="1"/>
    <xf numFmtId="4" fontId="42" fillId="0" borderId="0" xfId="55" applyFont="1" applyAlignment="1" applyProtection="1">
      <protection locked="0"/>
    </xf>
    <xf numFmtId="0" fontId="44" fillId="0" borderId="0" xfId="0" applyFont="1" applyAlignment="1">
      <alignment horizontal="center"/>
    </xf>
    <xf numFmtId="0" fontId="44" fillId="36" borderId="5" xfId="0" applyFont="1" applyFill="1" applyBorder="1" applyAlignment="1">
      <alignment horizontal="center" vertical="center"/>
    </xf>
    <xf numFmtId="0" fontId="44" fillId="36" borderId="10" xfId="0" applyFont="1" applyFill="1" applyBorder="1" applyAlignment="1">
      <alignment vertical="center"/>
    </xf>
    <xf numFmtId="0" fontId="44" fillId="36" borderId="4" xfId="0" applyFont="1" applyFill="1" applyBorder="1" applyAlignment="1">
      <alignment horizontal="center"/>
    </xf>
    <xf numFmtId="2" fontId="42" fillId="0" borderId="4" xfId="0" applyNumberFormat="1" applyFont="1" applyBorder="1" applyAlignment="1">
      <alignment horizontal="center"/>
    </xf>
    <xf numFmtId="200" fontId="42" fillId="0" borderId="4" xfId="24" applyNumberFormat="1" applyFont="1" applyBorder="1" applyAlignment="1">
      <alignment horizontal="center"/>
    </xf>
    <xf numFmtId="198" fontId="42" fillId="0" borderId="4" xfId="24" applyNumberFormat="1" applyFont="1" applyBorder="1" applyAlignment="1">
      <alignment horizontal="center"/>
    </xf>
    <xf numFmtId="43" fontId="42" fillId="0" borderId="4" xfId="24" applyNumberFormat="1" applyFont="1" applyBorder="1" applyAlignment="1">
      <alignment horizontal="center"/>
    </xf>
    <xf numFmtId="200" fontId="44" fillId="0" borderId="4" xfId="24" applyNumberFormat="1" applyFont="1" applyBorder="1" applyAlignment="1">
      <alignment horizontal="center"/>
    </xf>
    <xf numFmtId="43" fontId="42" fillId="0" borderId="4" xfId="0" applyNumberFormat="1" applyFont="1" applyBorder="1"/>
    <xf numFmtId="200" fontId="42" fillId="0" borderId="4" xfId="0" applyNumberFormat="1" applyFont="1" applyBorder="1"/>
    <xf numFmtId="43" fontId="42" fillId="0" borderId="4" xfId="24" applyFont="1" applyBorder="1"/>
    <xf numFmtId="0" fontId="44" fillId="0" borderId="0" xfId="0" applyFont="1"/>
    <xf numFmtId="0" fontId="42" fillId="0" borderId="28" xfId="0" applyFont="1" applyBorder="1"/>
    <xf numFmtId="0" fontId="119" fillId="0" borderId="43" xfId="0" applyFont="1" applyBorder="1"/>
    <xf numFmtId="0" fontId="42" fillId="0" borderId="29" xfId="0" applyFont="1" applyBorder="1"/>
    <xf numFmtId="0" fontId="119" fillId="0" borderId="30" xfId="0" applyFont="1" applyBorder="1"/>
    <xf numFmtId="0" fontId="119" fillId="0" borderId="29" xfId="0" applyFont="1" applyBorder="1" applyAlignment="1">
      <alignment horizontal="center"/>
    </xf>
    <xf numFmtId="0" fontId="119" fillId="0" borderId="0" xfId="0" applyFont="1" applyBorder="1" applyAlignment="1">
      <alignment horizontal="center"/>
    </xf>
    <xf numFmtId="0" fontId="42" fillId="0" borderId="32" xfId="0" applyFont="1" applyBorder="1"/>
    <xf numFmtId="0" fontId="119" fillId="0" borderId="33" xfId="0" applyFont="1" applyBorder="1"/>
    <xf numFmtId="0" fontId="169" fillId="0" borderId="0" xfId="0" applyFont="1" applyAlignment="1">
      <alignment vertical="center"/>
    </xf>
    <xf numFmtId="0" fontId="44" fillId="0" borderId="22" xfId="0" applyFont="1" applyBorder="1" applyAlignment="1" applyProtection="1">
      <alignment vertical="center"/>
    </xf>
    <xf numFmtId="0" fontId="42" fillId="0" borderId="20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0" fontId="42" fillId="0" borderId="10" xfId="0" applyFont="1" applyBorder="1" applyAlignment="1" applyProtection="1">
      <alignment horizontal="center" vertical="center"/>
    </xf>
    <xf numFmtId="0" fontId="42" fillId="0" borderId="26" xfId="0" applyFont="1" applyBorder="1" applyAlignment="1">
      <alignment vertical="center"/>
    </xf>
    <xf numFmtId="0" fontId="42" fillId="0" borderId="18" xfId="0" applyFont="1" applyBorder="1" applyAlignment="1" applyProtection="1">
      <alignment horizontal="center" vertical="center"/>
    </xf>
    <xf numFmtId="0" fontId="44" fillId="0" borderId="23" xfId="0" applyFont="1" applyBorder="1" applyAlignment="1" applyProtection="1">
      <alignment vertical="center"/>
    </xf>
    <xf numFmtId="0" fontId="42" fillId="0" borderId="20" xfId="0" applyFont="1" applyBorder="1" applyAlignment="1" applyProtection="1">
      <alignment horizontal="center" vertical="center"/>
    </xf>
    <xf numFmtId="0" fontId="42" fillId="0" borderId="23" xfId="0" applyFont="1" applyBorder="1" applyAlignment="1" applyProtection="1">
      <alignment horizontal="center" vertical="center"/>
    </xf>
    <xf numFmtId="0" fontId="42" fillId="0" borderId="26" xfId="0" applyFont="1" applyBorder="1" applyAlignment="1" applyProtection="1">
      <alignment horizontal="center" vertical="center"/>
    </xf>
    <xf numFmtId="0" fontId="44" fillId="0" borderId="19" xfId="0" applyFont="1" applyBorder="1" applyAlignment="1" applyProtection="1">
      <alignment vertical="center"/>
    </xf>
    <xf numFmtId="0" fontId="42" fillId="0" borderId="24" xfId="0" applyFont="1" applyBorder="1" applyAlignment="1">
      <alignment vertical="center"/>
    </xf>
    <xf numFmtId="3" fontId="42" fillId="0" borderId="23" xfId="0" applyNumberFormat="1" applyFont="1" applyBorder="1" applyAlignment="1" applyProtection="1">
      <alignment horizontal="center" vertical="center"/>
    </xf>
    <xf numFmtId="0" fontId="42" fillId="0" borderId="10" xfId="0" applyFont="1" applyBorder="1" applyAlignment="1">
      <alignment vertical="center"/>
    </xf>
    <xf numFmtId="3" fontId="42" fillId="0" borderId="26" xfId="0" applyNumberFormat="1" applyFont="1" applyBorder="1" applyAlignment="1" applyProtection="1">
      <alignment horizontal="center" vertical="center"/>
    </xf>
    <xf numFmtId="0" fontId="168" fillId="0" borderId="0" xfId="0" applyFont="1" applyAlignment="1" applyProtection="1">
      <alignment vertical="center"/>
    </xf>
    <xf numFmtId="0" fontId="168" fillId="0" borderId="18" xfId="0" applyFont="1" applyBorder="1" applyAlignment="1" applyProtection="1">
      <alignment vertical="center"/>
    </xf>
    <xf numFmtId="0" fontId="170" fillId="0" borderId="0" xfId="0" applyFont="1" applyAlignment="1" applyProtection="1">
      <alignment vertical="center"/>
    </xf>
    <xf numFmtId="0" fontId="35" fillId="33" borderId="56" xfId="51" applyFont="1" applyFill="1" applyBorder="1" applyAlignment="1" applyProtection="1">
      <alignment vertical="center"/>
    </xf>
    <xf numFmtId="0" fontId="35" fillId="33" borderId="103" xfId="0" applyFont="1" applyFill="1" applyBorder="1" applyAlignment="1">
      <alignment vertical="center"/>
    </xf>
    <xf numFmtId="0" fontId="108" fillId="33" borderId="61" xfId="0" applyFont="1" applyFill="1" applyBorder="1" applyAlignment="1">
      <alignment vertical="center"/>
    </xf>
    <xf numFmtId="0" fontId="35" fillId="33" borderId="61" xfId="0" applyFont="1" applyFill="1" applyBorder="1" applyAlignment="1">
      <alignment vertical="center"/>
    </xf>
    <xf numFmtId="2" fontId="35" fillId="33" borderId="59" xfId="51" applyNumberFormat="1" applyFont="1" applyFill="1" applyBorder="1" applyAlignment="1">
      <alignment vertical="center"/>
    </xf>
    <xf numFmtId="0" fontId="35" fillId="33" borderId="59" xfId="51" applyFont="1" applyFill="1" applyBorder="1" applyAlignment="1" applyProtection="1">
      <alignment horizontal="center" vertical="center"/>
    </xf>
    <xf numFmtId="0" fontId="35" fillId="33" borderId="66" xfId="0" applyFont="1" applyFill="1" applyBorder="1" applyAlignment="1">
      <alignment vertical="center"/>
    </xf>
    <xf numFmtId="3" fontId="35" fillId="33" borderId="59" xfId="24" applyNumberFormat="1" applyFont="1" applyFill="1" applyBorder="1" applyAlignment="1" applyProtection="1">
      <alignment horizontal="center" vertical="center"/>
    </xf>
    <xf numFmtId="0" fontId="108" fillId="33" borderId="59" xfId="0" applyFont="1" applyFill="1" applyBorder="1" applyAlignment="1">
      <alignment vertical="center"/>
    </xf>
    <xf numFmtId="0" fontId="171" fillId="33" borderId="66" xfId="0" applyFont="1" applyFill="1" applyBorder="1" applyAlignment="1">
      <alignment vertical="center"/>
    </xf>
    <xf numFmtId="0" fontId="171" fillId="33" borderId="61" xfId="0" applyFont="1" applyFill="1" applyBorder="1" applyAlignment="1">
      <alignment vertical="center"/>
    </xf>
    <xf numFmtId="0" fontId="171" fillId="33" borderId="60" xfId="0" applyFont="1" applyFill="1" applyBorder="1" applyAlignment="1">
      <alignment vertical="center"/>
    </xf>
    <xf numFmtId="0" fontId="35" fillId="33" borderId="59" xfId="0" applyFont="1" applyFill="1" applyBorder="1" applyAlignment="1">
      <alignment horizontal="center" vertical="center"/>
    </xf>
    <xf numFmtId="0" fontId="35" fillId="33" borderId="60" xfId="0" applyFont="1" applyFill="1" applyBorder="1" applyAlignment="1">
      <alignment horizontal="center" vertical="center"/>
    </xf>
    <xf numFmtId="0" fontId="108" fillId="33" borderId="64" xfId="0" applyFont="1" applyFill="1" applyBorder="1" applyAlignment="1">
      <alignment vertical="center"/>
    </xf>
    <xf numFmtId="0" fontId="171" fillId="33" borderId="67" xfId="0" applyFont="1" applyFill="1" applyBorder="1" applyAlignment="1">
      <alignment vertical="center"/>
    </xf>
    <xf numFmtId="0" fontId="171" fillId="33" borderId="62" xfId="0" applyFont="1" applyFill="1" applyBorder="1" applyAlignment="1">
      <alignment vertical="center"/>
    </xf>
    <xf numFmtId="0" fontId="171" fillId="33" borderId="63" xfId="0" applyFont="1" applyFill="1" applyBorder="1" applyAlignment="1">
      <alignment vertical="center"/>
    </xf>
    <xf numFmtId="0" fontId="35" fillId="33" borderId="64" xfId="0" applyFont="1" applyFill="1" applyBorder="1" applyAlignment="1">
      <alignment horizontal="center" vertical="center"/>
    </xf>
    <xf numFmtId="0" fontId="35" fillId="33" borderId="63" xfId="0" applyFont="1" applyFill="1" applyBorder="1" applyAlignment="1">
      <alignment horizontal="center" vertical="center"/>
    </xf>
    <xf numFmtId="194" fontId="0" fillId="0" borderId="0" xfId="0" applyNumberFormat="1"/>
    <xf numFmtId="225" fontId="105" fillId="20" borderId="44" xfId="54" applyNumberFormat="1" applyFont="1" applyFill="1" applyBorder="1" applyAlignment="1">
      <alignment horizontal="center"/>
    </xf>
    <xf numFmtId="225" fontId="105" fillId="20" borderId="46" xfId="54" applyNumberFormat="1" applyFont="1" applyFill="1" applyBorder="1" applyAlignment="1">
      <alignment horizontal="center"/>
    </xf>
    <xf numFmtId="0" fontId="42" fillId="0" borderId="39" xfId="0" applyFont="1" applyBorder="1"/>
    <xf numFmtId="0" fontId="42" fillId="0" borderId="43" xfId="0" applyFont="1" applyBorder="1"/>
    <xf numFmtId="0" fontId="42" fillId="0" borderId="30" xfId="0" applyFont="1" applyBorder="1"/>
    <xf numFmtId="0" fontId="122" fillId="0" borderId="29" xfId="0" applyFont="1" applyBorder="1" applyAlignment="1">
      <alignment horizontal="center" vertical="center"/>
    </xf>
    <xf numFmtId="0" fontId="122" fillId="0" borderId="0" xfId="0" applyFont="1" applyBorder="1" applyAlignment="1">
      <alignment horizontal="center" vertical="center"/>
    </xf>
    <xf numFmtId="0" fontId="122" fillId="0" borderId="30" xfId="0" applyFont="1" applyBorder="1" applyAlignment="1">
      <alignment horizontal="center" vertical="center"/>
    </xf>
    <xf numFmtId="0" fontId="122" fillId="0" borderId="0" xfId="0" applyFont="1" applyBorder="1"/>
    <xf numFmtId="0" fontId="122" fillId="0" borderId="29" xfId="0" applyFont="1" applyBorder="1" applyAlignment="1"/>
    <xf numFmtId="0" fontId="123" fillId="0" borderId="0" xfId="0" applyFont="1" applyFill="1" applyBorder="1" applyAlignment="1">
      <alignment horizontal="center"/>
    </xf>
    <xf numFmtId="0" fontId="123" fillId="0" borderId="0" xfId="0" applyFont="1" applyFill="1" applyBorder="1" applyAlignment="1"/>
    <xf numFmtId="0" fontId="123" fillId="0" borderId="0" xfId="0" applyFont="1" applyBorder="1" applyAlignment="1"/>
    <xf numFmtId="0" fontId="123" fillId="0" borderId="30" xfId="0" applyFont="1" applyBorder="1" applyAlignment="1"/>
    <xf numFmtId="0" fontId="123" fillId="0" borderId="0" xfId="0" applyFont="1" applyBorder="1"/>
    <xf numFmtId="0" fontId="42" fillId="0" borderId="31" xfId="0" applyFont="1" applyBorder="1"/>
    <xf numFmtId="0" fontId="42" fillId="0" borderId="33" xfId="0" applyFont="1" applyBorder="1"/>
    <xf numFmtId="0" fontId="142" fillId="0" borderId="8" xfId="53" applyFont="1" applyBorder="1" applyAlignment="1">
      <alignment vertical="center" wrapText="1"/>
    </xf>
    <xf numFmtId="43" fontId="42" fillId="0" borderId="22" xfId="0" applyNumberFormat="1" applyFont="1" applyBorder="1" applyAlignment="1" applyProtection="1">
      <alignment vertical="center"/>
    </xf>
    <xf numFmtId="0" fontId="34" fillId="0" borderId="4" xfId="51" applyFont="1" applyBorder="1" applyAlignment="1">
      <alignment horizontal="center"/>
    </xf>
    <xf numFmtId="0" fontId="44" fillId="0" borderId="4" xfId="51" applyFont="1" applyBorder="1" applyAlignment="1">
      <alignment horizontal="center" vertical="center"/>
    </xf>
    <xf numFmtId="199" fontId="69" fillId="9" borderId="4" xfId="51" applyNumberFormat="1" applyFont="1" applyFill="1" applyBorder="1" applyAlignment="1"/>
    <xf numFmtId="0" fontId="35" fillId="0" borderId="0" xfId="51" applyFont="1"/>
    <xf numFmtId="0" fontId="42" fillId="0" borderId="103" xfId="0" applyFont="1" applyBorder="1" applyAlignment="1" applyProtection="1">
      <alignment horizontal="right" vertical="center"/>
    </xf>
    <xf numFmtId="43" fontId="35" fillId="0" borderId="66" xfId="0" applyNumberFormat="1" applyFont="1" applyBorder="1" applyAlignment="1" applyProtection="1">
      <alignment vertical="center"/>
    </xf>
    <xf numFmtId="202" fontId="42" fillId="0" borderId="59" xfId="0" applyNumberFormat="1" applyFont="1" applyBorder="1" applyAlignment="1" applyProtection="1">
      <alignment vertical="center"/>
    </xf>
    <xf numFmtId="2" fontId="42" fillId="0" borderId="0" xfId="51" applyNumberFormat="1" applyFont="1" applyFill="1" applyAlignment="1">
      <alignment vertical="center"/>
    </xf>
    <xf numFmtId="189" fontId="86" fillId="0" borderId="0" xfId="0" applyNumberFormat="1" applyFont="1" applyAlignment="1">
      <alignment horizontal="center"/>
    </xf>
    <xf numFmtId="189" fontId="86" fillId="0" borderId="0" xfId="0" applyNumberFormat="1" applyFont="1" applyBorder="1" applyAlignment="1">
      <alignment horizontal="center"/>
    </xf>
    <xf numFmtId="43" fontId="166" fillId="0" borderId="42" xfId="24" applyFont="1" applyBorder="1" applyAlignment="1" applyProtection="1">
      <alignment vertical="center"/>
      <protection hidden="1"/>
    </xf>
    <xf numFmtId="2" fontId="49" fillId="0" borderId="0" xfId="0" applyNumberFormat="1" applyFont="1" applyFill="1" applyAlignment="1" applyProtection="1">
      <alignment horizontal="center" vertical="center"/>
      <protection hidden="1"/>
    </xf>
    <xf numFmtId="2" fontId="49" fillId="0" borderId="0" xfId="0" applyNumberFormat="1" applyFont="1" applyAlignment="1">
      <alignment vertical="center"/>
    </xf>
    <xf numFmtId="43" fontId="115" fillId="0" borderId="5" xfId="0" applyNumberFormat="1" applyFont="1" applyBorder="1"/>
    <xf numFmtId="43" fontId="45" fillId="0" borderId="5" xfId="0" applyNumberFormat="1" applyFont="1" applyBorder="1"/>
    <xf numFmtId="41" fontId="42" fillId="0" borderId="4" xfId="0" applyNumberFormat="1" applyFont="1" applyBorder="1"/>
    <xf numFmtId="43" fontId="42" fillId="0" borderId="0" xfId="24" applyFont="1"/>
    <xf numFmtId="43" fontId="42" fillId="0" borderId="0" xfId="24" applyFont="1" applyFill="1"/>
    <xf numFmtId="0" fontId="172" fillId="0" borderId="0" xfId="0" applyFont="1"/>
    <xf numFmtId="0" fontId="172" fillId="0" borderId="0" xfId="0" applyFont="1" applyFill="1"/>
    <xf numFmtId="0" fontId="173" fillId="0" borderId="0" xfId="0" applyFont="1"/>
    <xf numFmtId="0" fontId="173" fillId="0" borderId="0" xfId="0" applyFont="1" applyFill="1"/>
    <xf numFmtId="189" fontId="172" fillId="0" borderId="0" xfId="0" applyNumberFormat="1" applyFont="1" applyFill="1" applyAlignment="1">
      <alignment horizontal="center"/>
    </xf>
    <xf numFmtId="0" fontId="172" fillId="0" borderId="0" xfId="0" applyFont="1" applyAlignment="1"/>
    <xf numFmtId="0" fontId="174" fillId="0" borderId="0" xfId="0" applyFont="1" applyAlignment="1"/>
    <xf numFmtId="0" fontId="173" fillId="31" borderId="0" xfId="0" applyFont="1" applyFill="1" applyAlignment="1">
      <alignment horizontal="left"/>
    </xf>
    <xf numFmtId="0" fontId="173" fillId="0" borderId="0" xfId="0" applyFont="1" applyFill="1" applyAlignment="1">
      <alignment horizontal="left"/>
    </xf>
    <xf numFmtId="0" fontId="172" fillId="0" borderId="0" xfId="0" applyFont="1" applyFill="1" applyAlignment="1"/>
    <xf numFmtId="3" fontId="172" fillId="0" borderId="0" xfId="0" applyNumberFormat="1" applyFont="1" applyFill="1" applyAlignment="1">
      <alignment horizontal="center"/>
    </xf>
    <xf numFmtId="3" fontId="172" fillId="0" borderId="0" xfId="0" applyNumberFormat="1" applyFont="1" applyFill="1" applyAlignment="1"/>
    <xf numFmtId="0" fontId="172" fillId="0" borderId="0" xfId="0" applyFont="1" applyFill="1" applyAlignment="1">
      <alignment horizontal="center"/>
    </xf>
    <xf numFmtId="0" fontId="175" fillId="0" borderId="0" xfId="0" applyFont="1" applyAlignment="1"/>
    <xf numFmtId="1" fontId="172" fillId="31" borderId="0" xfId="0" applyNumberFormat="1" applyFont="1" applyFill="1" applyAlignment="1">
      <alignment horizontal="center"/>
    </xf>
    <xf numFmtId="1" fontId="172" fillId="0" borderId="0" xfId="0" applyNumberFormat="1" applyFont="1" applyFill="1" applyAlignment="1">
      <alignment horizontal="center"/>
    </xf>
    <xf numFmtId="3" fontId="172" fillId="0" borderId="0" xfId="0" applyNumberFormat="1" applyFont="1"/>
    <xf numFmtId="201" fontId="172" fillId="0" borderId="0" xfId="24" applyNumberFormat="1" applyFont="1" applyFill="1" applyAlignment="1">
      <alignment horizontal="center"/>
    </xf>
    <xf numFmtId="0" fontId="172" fillId="0" borderId="0" xfId="0" applyFont="1" applyAlignment="1">
      <alignment wrapText="1"/>
    </xf>
    <xf numFmtId="189" fontId="123" fillId="0" borderId="0" xfId="0" applyNumberFormat="1" applyFont="1" applyAlignment="1">
      <alignment horizontal="center"/>
    </xf>
    <xf numFmtId="0" fontId="122" fillId="0" borderId="0" xfId="0" applyFont="1"/>
    <xf numFmtId="2" fontId="123" fillId="0" borderId="0" xfId="0" applyNumberFormat="1" applyFont="1" applyAlignment="1">
      <alignment horizontal="center"/>
    </xf>
    <xf numFmtId="0" fontId="123" fillId="0" borderId="0" xfId="0" applyFont="1"/>
    <xf numFmtId="0" fontId="44" fillId="26" borderId="10" xfId="51" applyFont="1" applyFill="1" applyBorder="1" applyAlignment="1" applyProtection="1">
      <alignment horizontal="center"/>
    </xf>
    <xf numFmtId="0" fontId="44" fillId="26" borderId="19" xfId="51" applyFont="1" applyFill="1" applyBorder="1" applyAlignment="1" applyProtection="1">
      <alignment horizontal="center" vertical="center" wrapText="1"/>
    </xf>
    <xf numFmtId="0" fontId="75" fillId="0" borderId="4" xfId="51" applyFont="1" applyBorder="1" applyAlignment="1">
      <alignment horizontal="center" vertical="center"/>
    </xf>
    <xf numFmtId="39" fontId="42" fillId="39" borderId="36" xfId="54" applyFont="1" applyFill="1" applyBorder="1" applyAlignment="1">
      <alignment horizontal="center"/>
    </xf>
    <xf numFmtId="39" fontId="42" fillId="39" borderId="37" xfId="54" applyFont="1" applyFill="1" applyBorder="1" applyAlignment="1">
      <alignment horizontal="center"/>
    </xf>
    <xf numFmtId="39" fontId="42" fillId="39" borderId="38" xfId="54" applyFont="1" applyFill="1" applyBorder="1"/>
    <xf numFmtId="39" fontId="42" fillId="9" borderId="35" xfId="54" applyFont="1" applyFill="1" applyBorder="1"/>
    <xf numFmtId="39" fontId="42" fillId="0" borderId="104" xfId="54" applyNumberFormat="1" applyFont="1" applyBorder="1" applyAlignment="1" applyProtection="1">
      <alignment horizontal="right"/>
    </xf>
    <xf numFmtId="39" fontId="42" fillId="0" borderId="105" xfId="54" applyNumberFormat="1" applyFont="1" applyBorder="1" applyAlignment="1" applyProtection="1">
      <alignment horizontal="right"/>
    </xf>
    <xf numFmtId="1" fontId="44" fillId="39" borderId="106" xfId="54" applyNumberFormat="1" applyFont="1" applyFill="1" applyBorder="1" applyAlignment="1">
      <alignment horizontal="center"/>
    </xf>
    <xf numFmtId="0" fontId="42" fillId="0" borderId="11" xfId="0" applyFont="1" applyBorder="1"/>
    <xf numFmtId="39" fontId="42" fillId="0" borderId="8" xfId="54" applyNumberFormat="1" applyFont="1" applyBorder="1" applyAlignment="1" applyProtection="1">
      <alignment horizontal="right"/>
    </xf>
    <xf numFmtId="39" fontId="42" fillId="0" borderId="108" xfId="54" applyNumberFormat="1" applyFont="1" applyBorder="1" applyAlignment="1" applyProtection="1">
      <alignment horizontal="right"/>
    </xf>
    <xf numFmtId="1" fontId="44" fillId="39" borderId="109" xfId="54" applyNumberFormat="1" applyFont="1" applyFill="1" applyBorder="1" applyAlignment="1">
      <alignment horizontal="center"/>
    </xf>
    <xf numFmtId="0" fontId="42" fillId="0" borderId="13" xfId="0" applyFont="1" applyBorder="1"/>
    <xf numFmtId="39" fontId="42" fillId="0" borderId="111" xfId="54" applyNumberFormat="1" applyFont="1" applyBorder="1" applyAlignment="1" applyProtection="1">
      <alignment horizontal="right"/>
    </xf>
    <xf numFmtId="39" fontId="42" fillId="0" borderId="113" xfId="54" applyNumberFormat="1" applyFont="1" applyBorder="1" applyAlignment="1" applyProtection="1">
      <alignment horizontal="right"/>
    </xf>
    <xf numFmtId="39" fontId="42" fillId="0" borderId="114" xfId="54" applyNumberFormat="1" applyFont="1" applyBorder="1" applyAlignment="1" applyProtection="1">
      <alignment horizontal="right"/>
    </xf>
    <xf numFmtId="1" fontId="44" fillId="39" borderId="115" xfId="54" applyNumberFormat="1" applyFont="1" applyFill="1" applyBorder="1" applyAlignment="1">
      <alignment horizontal="center"/>
    </xf>
    <xf numFmtId="0" fontId="42" fillId="0" borderId="16" xfId="0" applyFont="1" applyBorder="1"/>
    <xf numFmtId="39" fontId="42" fillId="39" borderId="98" xfId="54" applyNumberFormat="1" applyFont="1" applyFill="1" applyBorder="1" applyAlignment="1" applyProtection="1">
      <alignment horizontal="right"/>
    </xf>
    <xf numFmtId="39" fontId="42" fillId="0" borderId="0" xfId="54" applyFont="1" applyFill="1"/>
    <xf numFmtId="2" fontId="102" fillId="35" borderId="26" xfId="54" applyNumberFormat="1" applyFont="1" applyFill="1" applyBorder="1" applyAlignment="1" applyProtection="1">
      <alignment horizontal="center"/>
    </xf>
    <xf numFmtId="2" fontId="102" fillId="35" borderId="26" xfId="54" applyNumberFormat="1" applyFont="1" applyFill="1" applyBorder="1" applyAlignment="1">
      <alignment horizontal="center"/>
    </xf>
    <xf numFmtId="1" fontId="54" fillId="0" borderId="34" xfId="54" applyNumberFormat="1" applyFont="1" applyBorder="1"/>
    <xf numFmtId="1" fontId="103" fillId="35" borderId="47" xfId="54" applyNumberFormat="1" applyFont="1" applyFill="1" applyBorder="1" applyAlignment="1">
      <alignment horizontal="center"/>
    </xf>
    <xf numFmtId="39" fontId="103" fillId="35" borderId="45" xfId="54" applyFont="1" applyFill="1" applyBorder="1" applyAlignment="1">
      <alignment horizontal="center"/>
    </xf>
    <xf numFmtId="1" fontId="103" fillId="35" borderId="50" xfId="54" applyNumberFormat="1" applyFont="1" applyFill="1" applyBorder="1" applyAlignment="1">
      <alignment horizontal="center"/>
    </xf>
    <xf numFmtId="39" fontId="103" fillId="35" borderId="52" xfId="54" quotePrefix="1" applyFont="1" applyFill="1" applyBorder="1" applyAlignment="1">
      <alignment horizontal="center"/>
    </xf>
    <xf numFmtId="39" fontId="102" fillId="35" borderId="20" xfId="54" applyFont="1" applyFill="1" applyBorder="1" applyAlignment="1">
      <alignment horizontal="center"/>
    </xf>
    <xf numFmtId="0" fontId="102" fillId="35" borderId="10" xfId="0" applyFont="1" applyFill="1" applyBorder="1"/>
    <xf numFmtId="2" fontId="102" fillId="35" borderId="3" xfId="54" applyNumberFormat="1" applyFont="1" applyFill="1" applyBorder="1" applyAlignment="1">
      <alignment horizontal="centerContinuous"/>
    </xf>
    <xf numFmtId="2" fontId="102" fillId="35" borderId="41" xfId="54" applyNumberFormat="1" applyFont="1" applyFill="1" applyBorder="1" applyAlignment="1">
      <alignment horizontal="centerContinuous"/>
    </xf>
    <xf numFmtId="39" fontId="98" fillId="35" borderId="47" xfId="54" applyFont="1" applyFill="1" applyBorder="1" applyAlignment="1">
      <alignment horizontal="center"/>
    </xf>
    <xf numFmtId="39" fontId="98" fillId="35" borderId="48" xfId="54" applyFont="1" applyFill="1" applyBorder="1" applyAlignment="1">
      <alignment horizontal="center"/>
    </xf>
    <xf numFmtId="39" fontId="98" fillId="35" borderId="45" xfId="54" applyFont="1" applyFill="1" applyBorder="1" applyAlignment="1">
      <alignment horizontal="center"/>
    </xf>
    <xf numFmtId="39" fontId="98" fillId="35" borderId="49" xfId="54" applyFont="1" applyFill="1" applyBorder="1" applyAlignment="1">
      <alignment horizontal="center"/>
    </xf>
    <xf numFmtId="39" fontId="98" fillId="35" borderId="43" xfId="54" applyFont="1" applyFill="1" applyBorder="1" applyAlignment="1">
      <alignment horizontal="center"/>
    </xf>
    <xf numFmtId="39" fontId="98" fillId="35" borderId="50" xfId="54" applyFont="1" applyFill="1" applyBorder="1" applyAlignment="1">
      <alignment horizontal="center"/>
    </xf>
    <xf numFmtId="37" fontId="98" fillId="35" borderId="51" xfId="54" applyNumberFormat="1" applyFont="1" applyFill="1" applyBorder="1" applyAlignment="1">
      <alignment horizontal="center"/>
    </xf>
    <xf numFmtId="37" fontId="98" fillId="35" borderId="52" xfId="54" applyNumberFormat="1" applyFont="1" applyFill="1" applyBorder="1" applyAlignment="1">
      <alignment horizontal="center"/>
    </xf>
    <xf numFmtId="39" fontId="98" fillId="35" borderId="53" xfId="54" applyFont="1" applyFill="1" applyBorder="1" applyAlignment="1">
      <alignment horizontal="center"/>
    </xf>
    <xf numFmtId="39" fontId="98" fillId="35" borderId="51" xfId="54" applyFont="1" applyFill="1" applyBorder="1" applyAlignment="1">
      <alignment horizontal="center"/>
    </xf>
    <xf numFmtId="0" fontId="98" fillId="35" borderId="51" xfId="0" applyFont="1" applyFill="1" applyBorder="1" applyAlignment="1">
      <alignment horizontal="center"/>
    </xf>
    <xf numFmtId="0" fontId="98" fillId="35" borderId="33" xfId="0" applyFont="1" applyFill="1" applyBorder="1" applyAlignment="1">
      <alignment horizontal="center"/>
    </xf>
    <xf numFmtId="0" fontId="42" fillId="0" borderId="0" xfId="0" applyFont="1" applyAlignment="1">
      <alignment horizontal="center" vertical="center"/>
    </xf>
    <xf numFmtId="0" fontId="44" fillId="0" borderId="0" xfId="51" applyFont="1" applyAlignment="1">
      <alignment horizontal="right"/>
    </xf>
    <xf numFmtId="43" fontId="44" fillId="0" borderId="4" xfId="24" applyNumberFormat="1" applyFont="1" applyBorder="1" applyAlignment="1" applyProtection="1">
      <alignment horizontal="center" vertical="justify"/>
    </xf>
    <xf numFmtId="43" fontId="44" fillId="0" borderId="4" xfId="24" applyFont="1" applyBorder="1"/>
    <xf numFmtId="43" fontId="42" fillId="0" borderId="4" xfId="24" applyFont="1" applyFill="1" applyBorder="1" applyAlignment="1" applyProtection="1">
      <alignment horizontal="center" vertical="justify"/>
    </xf>
    <xf numFmtId="0" fontId="0" fillId="0" borderId="4" xfId="0" applyBorder="1" applyAlignment="1">
      <alignment horizontal="center"/>
    </xf>
    <xf numFmtId="0" fontId="44" fillId="26" borderId="1" xfId="51" applyFont="1" applyFill="1" applyBorder="1" applyAlignment="1" applyProtection="1"/>
    <xf numFmtId="0" fontId="44" fillId="26" borderId="3" xfId="51" applyFont="1" applyFill="1" applyBorder="1" applyAlignment="1" applyProtection="1"/>
    <xf numFmtId="43" fontId="41" fillId="26" borderId="10" xfId="51" applyNumberFormat="1" applyFont="1" applyFill="1" applyBorder="1" applyAlignment="1" applyProtection="1">
      <alignment horizontal="center" vertical="center"/>
    </xf>
    <xf numFmtId="0" fontId="42" fillId="0" borderId="0" xfId="51" applyFont="1" applyFill="1" applyAlignment="1">
      <alignment horizontal="center"/>
    </xf>
    <xf numFmtId="0" fontId="0" fillId="0" borderId="28" xfId="0" applyBorder="1"/>
    <xf numFmtId="0" fontId="0" fillId="0" borderId="0" xfId="0" applyBorder="1"/>
    <xf numFmtId="0" fontId="44" fillId="38" borderId="75" xfId="51" applyFont="1" applyFill="1" applyBorder="1" applyAlignment="1">
      <alignment horizontal="center"/>
    </xf>
    <xf numFmtId="0" fontId="44" fillId="38" borderId="4" xfId="51" applyFont="1" applyFill="1" applyBorder="1" applyAlignment="1">
      <alignment horizontal="center"/>
    </xf>
    <xf numFmtId="0" fontId="44" fillId="38" borderId="76" xfId="51" applyFont="1" applyFill="1" applyBorder="1" applyAlignment="1">
      <alignment horizontal="center"/>
    </xf>
    <xf numFmtId="43" fontId="42" fillId="0" borderId="75" xfId="51" applyNumberFormat="1" applyFont="1" applyBorder="1" applyAlignment="1">
      <alignment horizontal="center"/>
    </xf>
    <xf numFmtId="43" fontId="42" fillId="0" borderId="4" xfId="51" applyNumberFormat="1" applyFont="1" applyBorder="1" applyAlignment="1">
      <alignment horizontal="center"/>
    </xf>
    <xf numFmtId="43" fontId="42" fillId="0" borderId="76" xfId="24" applyFont="1" applyBorder="1" applyAlignment="1">
      <alignment horizontal="center"/>
    </xf>
    <xf numFmtId="189" fontId="47" fillId="0" borderId="0" xfId="51" applyNumberFormat="1" applyFont="1" applyAlignment="1">
      <alignment horizontal="center"/>
    </xf>
    <xf numFmtId="0" fontId="42" fillId="0" borderId="29" xfId="51" applyFont="1" applyBorder="1"/>
    <xf numFmtId="0" fontId="42" fillId="0" borderId="30" xfId="51" applyFont="1" applyBorder="1"/>
    <xf numFmtId="2" fontId="42" fillId="0" borderId="79" xfId="51" applyNumberFormat="1" applyFont="1" applyBorder="1" applyAlignment="1">
      <alignment horizontal="center"/>
    </xf>
    <xf numFmtId="2" fontId="42" fillId="0" borderId="80" xfId="51" applyNumberFormat="1" applyFont="1" applyBorder="1" applyAlignment="1">
      <alignment horizontal="center"/>
    </xf>
    <xf numFmtId="2" fontId="42" fillId="0" borderId="80" xfId="24" applyNumberFormat="1" applyFont="1" applyBorder="1" applyAlignment="1">
      <alignment horizontal="center"/>
    </xf>
    <xf numFmtId="2" fontId="42" fillId="0" borderId="81" xfId="24" applyNumberFormat="1" applyFont="1" applyBorder="1" applyAlignment="1">
      <alignment horizontal="center"/>
    </xf>
    <xf numFmtId="0" fontId="44" fillId="38" borderId="4" xfId="0" applyFont="1" applyFill="1" applyBorder="1" applyAlignment="1">
      <alignment horizontal="center"/>
    </xf>
    <xf numFmtId="226" fontId="42" fillId="0" borderId="4" xfId="0" applyNumberFormat="1" applyFont="1" applyBorder="1" applyAlignment="1">
      <alignment horizontal="center"/>
    </xf>
    <xf numFmtId="4" fontId="42" fillId="0" borderId="4" xfId="24" applyNumberFormat="1" applyFont="1" applyBorder="1" applyAlignment="1">
      <alignment horizontal="center"/>
    </xf>
    <xf numFmtId="4" fontId="42" fillId="0" borderId="4" xfId="24" applyNumberFormat="1" applyFont="1" applyBorder="1"/>
    <xf numFmtId="226" fontId="42" fillId="0" borderId="4" xfId="0" applyNumberFormat="1" applyFont="1" applyBorder="1" applyAlignment="1">
      <alignment horizontal="center" vertical="center"/>
    </xf>
    <xf numFmtId="4" fontId="42" fillId="0" borderId="0" xfId="0" applyNumberFormat="1" applyFont="1"/>
    <xf numFmtId="4" fontId="42" fillId="0" borderId="4" xfId="0" applyNumberFormat="1" applyFont="1" applyBorder="1"/>
    <xf numFmtId="188" fontId="42" fillId="0" borderId="4" xfId="0" applyNumberFormat="1" applyFont="1" applyFill="1" applyBorder="1" applyAlignment="1">
      <alignment horizontal="center" vertical="center"/>
    </xf>
    <xf numFmtId="4" fontId="42" fillId="0" borderId="0" xfId="0" applyNumberFormat="1" applyFont="1" applyFill="1" applyBorder="1"/>
    <xf numFmtId="3" fontId="49" fillId="0" borderId="0" xfId="51" applyNumberFormat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left" vertical="center"/>
    </xf>
    <xf numFmtId="226" fontId="42" fillId="0" borderId="0" xfId="0" applyNumberFormat="1" applyFont="1" applyFill="1" applyBorder="1" applyAlignment="1">
      <alignment horizontal="center" vertical="center"/>
    </xf>
    <xf numFmtId="4" fontId="42" fillId="0" borderId="0" xfId="0" applyNumberFormat="1" applyFont="1" applyFill="1"/>
    <xf numFmtId="1" fontId="49" fillId="0" borderId="4" xfId="51" applyNumberFormat="1" applyFont="1" applyBorder="1" applyAlignment="1">
      <alignment horizontal="center" vertical="center"/>
    </xf>
    <xf numFmtId="2" fontId="42" fillId="0" borderId="4" xfId="51" applyNumberFormat="1" applyFont="1" applyBorder="1" applyAlignment="1">
      <alignment horizontal="center"/>
    </xf>
    <xf numFmtId="2" fontId="42" fillId="0" borderId="4" xfId="51" applyNumberFormat="1" applyFont="1" applyFill="1" applyBorder="1" applyAlignment="1">
      <alignment horizontal="center"/>
    </xf>
    <xf numFmtId="1" fontId="42" fillId="0" borderId="4" xfId="51" applyNumberFormat="1" applyFont="1" applyBorder="1" applyAlignment="1">
      <alignment horizontal="center"/>
    </xf>
    <xf numFmtId="1" fontId="42" fillId="0" borderId="4" xfId="0" applyNumberFormat="1" applyFont="1" applyBorder="1" applyAlignment="1">
      <alignment horizontal="center"/>
    </xf>
    <xf numFmtId="0" fontId="160" fillId="0" borderId="4" xfId="51" applyFont="1" applyBorder="1" applyAlignment="1">
      <alignment horizontal="center" vertical="center"/>
    </xf>
    <xf numFmtId="0" fontId="42" fillId="0" borderId="56" xfId="51" applyFont="1" applyFill="1" applyBorder="1" applyAlignment="1">
      <alignment horizontal="center"/>
    </xf>
    <xf numFmtId="0" fontId="42" fillId="0" borderId="0" xfId="51" applyFont="1" applyAlignment="1"/>
    <xf numFmtId="0" fontId="75" fillId="0" borderId="0" xfId="51" applyFont="1" applyAlignment="1" applyProtection="1">
      <alignment vertical="center"/>
    </xf>
    <xf numFmtId="1" fontId="35" fillId="0" borderId="0" xfId="51" applyNumberFormat="1" applyFont="1" applyFill="1" applyAlignment="1" applyProtection="1">
      <alignment horizontal="center" vertical="center"/>
      <protection locked="0"/>
    </xf>
    <xf numFmtId="1" fontId="49" fillId="0" borderId="0" xfId="51" applyNumberFormat="1" applyFont="1" applyFill="1" applyAlignment="1" applyProtection="1">
      <alignment vertical="center"/>
    </xf>
    <xf numFmtId="0" fontId="76" fillId="13" borderId="0" xfId="51" applyFont="1" applyFill="1" applyAlignment="1" applyProtection="1">
      <alignment vertical="center"/>
    </xf>
    <xf numFmtId="0" fontId="49" fillId="0" borderId="18" xfId="51" applyFont="1" applyBorder="1" applyAlignment="1" applyProtection="1">
      <alignment vertical="center"/>
    </xf>
    <xf numFmtId="0" fontId="75" fillId="0" borderId="18" xfId="51" applyFont="1" applyBorder="1" applyAlignment="1" applyProtection="1">
      <alignment vertical="center"/>
    </xf>
    <xf numFmtId="0" fontId="77" fillId="0" borderId="18" xfId="51" applyFont="1" applyFill="1" applyBorder="1" applyAlignment="1" applyProtection="1">
      <alignment vertical="center"/>
      <protection locked="0"/>
    </xf>
    <xf numFmtId="0" fontId="75" fillId="0" borderId="18" xfId="51" applyFont="1" applyBorder="1" applyAlignment="1" applyProtection="1">
      <alignment horizontal="left" vertical="center"/>
    </xf>
    <xf numFmtId="189" fontId="75" fillId="13" borderId="18" xfId="51" applyNumberFormat="1" applyFont="1" applyFill="1" applyBorder="1" applyAlignment="1" applyProtection="1">
      <alignment vertical="center"/>
      <protection locked="0"/>
    </xf>
    <xf numFmtId="189" fontId="49" fillId="0" borderId="18" xfId="51" applyNumberFormat="1" applyFont="1" applyFill="1" applyBorder="1" applyAlignment="1" applyProtection="1">
      <alignment horizontal="center" vertical="center"/>
    </xf>
    <xf numFmtId="0" fontId="75" fillId="13" borderId="18" xfId="51" applyFont="1" applyFill="1" applyBorder="1" applyAlignment="1" applyProtection="1">
      <alignment vertical="center"/>
    </xf>
    <xf numFmtId="0" fontId="78" fillId="0" borderId="0" xfId="51" applyFont="1" applyAlignment="1" applyProtection="1">
      <alignment vertical="center"/>
    </xf>
    <xf numFmtId="0" fontId="53" fillId="0" borderId="0" xfId="51" applyFont="1" applyAlignment="1" applyProtection="1">
      <alignment vertical="center"/>
    </xf>
    <xf numFmtId="0" fontId="79" fillId="0" borderId="0" xfId="51" applyFont="1" applyFill="1" applyAlignment="1" applyProtection="1">
      <alignment vertical="center"/>
      <protection locked="0"/>
    </xf>
    <xf numFmtId="0" fontId="79" fillId="0" borderId="0" xfId="51" applyFont="1" applyFill="1" applyAlignment="1" applyProtection="1">
      <alignment vertical="center"/>
    </xf>
    <xf numFmtId="0" fontId="75" fillId="0" borderId="0" xfId="51" applyFont="1" applyFill="1" applyAlignment="1" applyProtection="1">
      <alignment vertical="center"/>
      <protection locked="0"/>
    </xf>
    <xf numFmtId="0" fontId="75" fillId="0" borderId="0" xfId="51" applyFont="1" applyFill="1" applyAlignment="1" applyProtection="1">
      <alignment vertical="center"/>
    </xf>
    <xf numFmtId="43" fontId="49" fillId="0" borderId="0" xfId="51" applyNumberFormat="1" applyFont="1" applyFill="1" applyAlignment="1" applyProtection="1">
      <alignment vertical="center"/>
      <protection locked="0"/>
    </xf>
    <xf numFmtId="2" fontId="49" fillId="0" borderId="0" xfId="51" applyNumberFormat="1" applyFont="1" applyAlignment="1" applyProtection="1">
      <alignment vertical="center"/>
    </xf>
    <xf numFmtId="3" fontId="49" fillId="0" borderId="0" xfId="24" applyNumberFormat="1" applyFont="1" applyFill="1" applyAlignment="1" applyProtection="1">
      <alignment horizontal="right" vertical="center"/>
    </xf>
    <xf numFmtId="0" fontId="49" fillId="0" borderId="0" xfId="51" applyFont="1" applyAlignment="1" applyProtection="1">
      <alignment horizontal="right" vertical="center"/>
    </xf>
    <xf numFmtId="43" fontId="49" fillId="0" borderId="0" xfId="51" quotePrefix="1" applyNumberFormat="1" applyFont="1" applyFill="1" applyAlignment="1" applyProtection="1">
      <alignment horizontal="right" vertical="center"/>
      <protection locked="0"/>
    </xf>
    <xf numFmtId="0" fontId="80" fillId="0" borderId="0" xfId="51" applyFont="1" applyAlignment="1" applyProtection="1">
      <alignment vertical="center"/>
    </xf>
    <xf numFmtId="4" fontId="81" fillId="0" borderId="0" xfId="51" applyNumberFormat="1" applyFont="1" applyAlignment="1" applyProtection="1">
      <alignment vertical="center"/>
    </xf>
    <xf numFmtId="0" fontId="79" fillId="0" borderId="0" xfId="51" applyFont="1" applyAlignment="1" applyProtection="1">
      <alignment vertical="center"/>
    </xf>
    <xf numFmtId="0" fontId="80" fillId="0" borderId="0" xfId="51" applyFont="1" applyAlignment="1" applyProtection="1">
      <alignment vertical="center"/>
      <protection hidden="1"/>
    </xf>
    <xf numFmtId="0" fontId="76" fillId="0" borderId="0" xfId="51" applyFont="1" applyAlignment="1" applyProtection="1">
      <alignment vertical="center"/>
      <protection hidden="1"/>
    </xf>
    <xf numFmtId="43" fontId="79" fillId="0" borderId="42" xfId="24" applyFont="1" applyBorder="1" applyAlignment="1">
      <alignment vertical="center"/>
    </xf>
    <xf numFmtId="2" fontId="67" fillId="0" borderId="0" xfId="51" applyNumberFormat="1" applyFont="1" applyAlignment="1" applyProtection="1">
      <alignment vertical="center"/>
      <protection hidden="1"/>
    </xf>
    <xf numFmtId="2" fontId="96" fillId="9" borderId="0" xfId="51" applyNumberFormat="1" applyFont="1" applyFill="1" applyAlignment="1" applyProtection="1">
      <alignment vertical="center"/>
      <protection hidden="1"/>
    </xf>
    <xf numFmtId="0" fontId="75" fillId="0" borderId="0" xfId="51" applyFont="1" applyAlignment="1" applyProtection="1">
      <alignment vertical="center"/>
      <protection hidden="1"/>
    </xf>
    <xf numFmtId="43" fontId="79" fillId="0" borderId="0" xfId="24" applyFont="1" applyBorder="1" applyAlignment="1">
      <alignment vertical="center"/>
    </xf>
    <xf numFmtId="2" fontId="49" fillId="31" borderId="0" xfId="51" applyNumberFormat="1" applyFont="1" applyFill="1" applyAlignment="1" applyProtection="1">
      <alignment horizontal="center" vertical="center"/>
    </xf>
    <xf numFmtId="0" fontId="75" fillId="0" borderId="0" xfId="51" applyFont="1" applyAlignment="1" applyProtection="1">
      <alignment horizontal="right" vertical="center"/>
    </xf>
    <xf numFmtId="0" fontId="86" fillId="0" borderId="0" xfId="51" applyFont="1"/>
    <xf numFmtId="0" fontId="86" fillId="0" borderId="0" xfId="51" applyFont="1" applyAlignment="1">
      <alignment horizontal="center"/>
    </xf>
    <xf numFmtId="0" fontId="49" fillId="0" borderId="0" xfId="51" applyFont="1" applyAlignment="1" applyProtection="1">
      <alignment horizontal="right" vertical="center"/>
      <protection hidden="1"/>
    </xf>
    <xf numFmtId="43" fontId="49" fillId="0" borderId="0" xfId="24" applyFont="1" applyAlignment="1" applyProtection="1">
      <alignment horizontal="center" vertical="center"/>
      <protection hidden="1"/>
    </xf>
    <xf numFmtId="0" fontId="86" fillId="0" borderId="0" xfId="51" applyFont="1" applyBorder="1" applyAlignment="1"/>
    <xf numFmtId="43" fontId="49" fillId="0" borderId="0" xfId="24" applyNumberFormat="1" applyFont="1" applyAlignment="1" applyProtection="1">
      <alignment vertical="center"/>
    </xf>
    <xf numFmtId="200" fontId="49" fillId="0" borderId="0" xfId="24" applyNumberFormat="1" applyFont="1" applyFill="1" applyBorder="1" applyAlignment="1">
      <alignment horizontal="centerContinuous" vertical="center"/>
    </xf>
    <xf numFmtId="43" fontId="86" fillId="0" borderId="0" xfId="24" applyFont="1" applyAlignment="1" applyProtection="1">
      <alignment horizontal="center" vertical="center"/>
      <protection hidden="1"/>
    </xf>
    <xf numFmtId="0" fontId="42" fillId="0" borderId="0" xfId="51" applyFont="1" applyAlignment="1" applyProtection="1">
      <alignment vertical="center"/>
    </xf>
    <xf numFmtId="0" fontId="160" fillId="0" borderId="0" xfId="51" applyFont="1" applyAlignment="1" applyProtection="1">
      <alignment horizontal="center" vertical="center"/>
    </xf>
    <xf numFmtId="0" fontId="84" fillId="0" borderId="0" xfId="51" applyFont="1" applyFill="1" applyAlignment="1" applyProtection="1">
      <alignment vertical="center"/>
    </xf>
    <xf numFmtId="39" fontId="85" fillId="0" borderId="0" xfId="51" applyNumberFormat="1" applyFont="1" applyFill="1" applyAlignment="1" applyProtection="1">
      <alignment horizontal="left" vertical="center"/>
    </xf>
    <xf numFmtId="188" fontId="49" fillId="0" borderId="0" xfId="51" applyNumberFormat="1" applyFont="1" applyFill="1" applyAlignment="1" applyProtection="1">
      <alignment vertical="center"/>
    </xf>
    <xf numFmtId="3" fontId="49" fillId="0" borderId="0" xfId="51" applyNumberFormat="1" applyFont="1" applyFill="1" applyAlignment="1" applyProtection="1">
      <alignment vertical="center"/>
      <protection locked="0"/>
    </xf>
    <xf numFmtId="0" fontId="44" fillId="36" borderId="10" xfId="0" applyFont="1" applyFill="1" applyBorder="1" applyAlignment="1">
      <alignment horizontal="center" vertical="center"/>
    </xf>
    <xf numFmtId="0" fontId="42" fillId="0" borderId="3" xfId="0" applyFont="1" applyBorder="1"/>
    <xf numFmtId="0" fontId="176" fillId="0" borderId="0" xfId="0" applyFont="1" applyAlignment="1">
      <alignment vertical="center"/>
    </xf>
    <xf numFmtId="0" fontId="153" fillId="0" borderId="4" xfId="0" applyFont="1" applyFill="1" applyBorder="1" applyAlignment="1" applyProtection="1">
      <alignment horizontal="center" vertical="center"/>
    </xf>
    <xf numFmtId="0" fontId="177" fillId="24" borderId="4" xfId="0" applyFont="1" applyFill="1" applyBorder="1" applyAlignment="1" applyProtection="1">
      <alignment horizontal="center" vertical="center"/>
    </xf>
    <xf numFmtId="0" fontId="178" fillId="0" borderId="0" xfId="0" applyFont="1" applyAlignment="1">
      <alignment vertical="center"/>
    </xf>
    <xf numFmtId="2" fontId="44" fillId="40" borderId="4" xfId="0" applyNumberFormat="1" applyFont="1" applyFill="1" applyBorder="1" applyProtection="1"/>
    <xf numFmtId="43" fontId="34" fillId="40" borderId="4" xfId="24" applyFont="1" applyFill="1" applyBorder="1" applyAlignment="1" applyProtection="1">
      <alignment horizontal="center"/>
    </xf>
    <xf numFmtId="0" fontId="44" fillId="40" borderId="4" xfId="0" applyFont="1" applyFill="1" applyBorder="1"/>
    <xf numFmtId="0" fontId="44" fillId="40" borderId="4" xfId="0" applyFont="1" applyFill="1" applyBorder="1" applyProtection="1"/>
    <xf numFmtId="0" fontId="44" fillId="40" borderId="4" xfId="0" applyFont="1" applyFill="1" applyBorder="1" applyAlignment="1" applyProtection="1">
      <alignment horizontal="center"/>
    </xf>
    <xf numFmtId="43" fontId="177" fillId="24" borderId="4" xfId="24" applyNumberFormat="1" applyFont="1" applyFill="1" applyBorder="1"/>
    <xf numFmtId="2" fontId="161" fillId="41" borderId="0" xfId="0" applyNumberFormat="1" applyFont="1" applyFill="1" applyAlignment="1" applyProtection="1">
      <alignment horizontal="center"/>
    </xf>
    <xf numFmtId="189" fontId="161" fillId="41" borderId="0" xfId="0" applyNumberFormat="1" applyFont="1" applyFill="1" applyAlignment="1" applyProtection="1">
      <alignment horizontal="center"/>
    </xf>
    <xf numFmtId="203" fontId="163" fillId="41" borderId="0" xfId="0" applyNumberFormat="1" applyFont="1" applyFill="1" applyBorder="1" applyAlignment="1" applyProtection="1">
      <alignment horizontal="center"/>
    </xf>
    <xf numFmtId="189" fontId="163" fillId="41" borderId="0" xfId="0" applyNumberFormat="1" applyFont="1" applyFill="1" applyBorder="1" applyAlignment="1" applyProtection="1">
      <alignment horizontal="center"/>
    </xf>
    <xf numFmtId="41" fontId="163" fillId="41" borderId="59" xfId="0" applyNumberFormat="1" applyFont="1" applyFill="1" applyBorder="1" applyAlignment="1" applyProtection="1">
      <alignment vertical="center"/>
    </xf>
    <xf numFmtId="200" fontId="49" fillId="0" borderId="0" xfId="24" applyNumberFormat="1" applyFont="1" applyFill="1" applyBorder="1" applyAlignment="1">
      <alignment horizontal="center" vertical="center"/>
    </xf>
    <xf numFmtId="0" fontId="49" fillId="13" borderId="0" xfId="0" applyFont="1" applyFill="1" applyAlignment="1">
      <alignment vertical="center"/>
    </xf>
    <xf numFmtId="187" fontId="49" fillId="0" borderId="59" xfId="0" applyNumberFormat="1" applyFont="1" applyBorder="1" applyAlignment="1" applyProtection="1">
      <alignment vertical="center"/>
    </xf>
    <xf numFmtId="0" fontId="71" fillId="0" borderId="0" xfId="84" applyFont="1" applyAlignment="1"/>
    <xf numFmtId="0" fontId="72" fillId="0" borderId="0" xfId="84" applyFont="1" applyAlignment="1"/>
    <xf numFmtId="0" fontId="42" fillId="0" borderId="0" xfId="84" applyFont="1"/>
    <xf numFmtId="0" fontId="47" fillId="0" borderId="4" xfId="84" applyFont="1" applyBorder="1" applyAlignment="1">
      <alignment horizontal="center"/>
    </xf>
    <xf numFmtId="1" fontId="47" fillId="0" borderId="0" xfId="84" applyNumberFormat="1" applyFont="1" applyAlignment="1">
      <alignment horizontal="center"/>
    </xf>
    <xf numFmtId="0" fontId="66" fillId="0" borderId="0" xfId="84" applyFont="1"/>
    <xf numFmtId="2" fontId="47" fillId="0" borderId="7" xfId="84" applyNumberFormat="1" applyFont="1" applyBorder="1" applyAlignment="1">
      <alignment horizontal="center"/>
    </xf>
    <xf numFmtId="1" fontId="47" fillId="0" borderId="7" xfId="84" applyNumberFormat="1" applyFont="1" applyBorder="1" applyAlignment="1">
      <alignment horizontal="center"/>
    </xf>
    <xf numFmtId="2" fontId="47" fillId="0" borderId="8" xfId="84" applyNumberFormat="1" applyFont="1" applyBorder="1" applyAlignment="1">
      <alignment horizontal="center"/>
    </xf>
    <xf numFmtId="1" fontId="47" fillId="0" borderId="8" xfId="84" applyNumberFormat="1" applyFont="1" applyBorder="1" applyAlignment="1">
      <alignment horizontal="center"/>
    </xf>
    <xf numFmtId="0" fontId="66" fillId="37" borderId="19" xfId="84" applyFont="1" applyFill="1" applyBorder="1" applyAlignment="1">
      <alignment horizontal="center"/>
    </xf>
    <xf numFmtId="0" fontId="66" fillId="37" borderId="10" xfId="84" applyFont="1" applyFill="1" applyBorder="1" applyAlignment="1">
      <alignment horizontal="center"/>
    </xf>
    <xf numFmtId="0" fontId="66" fillId="37" borderId="4" xfId="84" applyFont="1" applyFill="1" applyBorder="1" applyAlignment="1">
      <alignment horizontal="center"/>
    </xf>
    <xf numFmtId="0" fontId="66" fillId="37" borderId="41" xfId="84" applyFont="1" applyFill="1" applyBorder="1" applyAlignment="1">
      <alignment horizontal="center"/>
    </xf>
    <xf numFmtId="2" fontId="47" fillId="31" borderId="4" xfId="84" applyNumberFormat="1" applyFont="1" applyFill="1" applyBorder="1" applyAlignment="1">
      <alignment horizontal="center"/>
    </xf>
    <xf numFmtId="2" fontId="47" fillId="0" borderId="4" xfId="84" applyNumberFormat="1" applyFont="1" applyFill="1" applyBorder="1" applyAlignment="1">
      <alignment horizontal="center"/>
    </xf>
    <xf numFmtId="189" fontId="47" fillId="0" borderId="4" xfId="84" applyNumberFormat="1" applyFont="1" applyFill="1" applyBorder="1" applyAlignment="1">
      <alignment horizontal="center"/>
    </xf>
    <xf numFmtId="189" fontId="47" fillId="0" borderId="4" xfId="84" applyNumberFormat="1" applyFont="1" applyBorder="1" applyAlignment="1">
      <alignment horizontal="center"/>
    </xf>
    <xf numFmtId="189" fontId="47" fillId="0" borderId="41" xfId="84" applyNumberFormat="1" applyFont="1" applyBorder="1" applyAlignment="1">
      <alignment horizontal="center"/>
    </xf>
    <xf numFmtId="2" fontId="47" fillId="0" borderId="4" xfId="84" applyNumberFormat="1" applyFont="1" applyBorder="1" applyAlignment="1">
      <alignment horizontal="center"/>
    </xf>
    <xf numFmtId="0" fontId="42" fillId="0" borderId="0" xfId="84" applyFont="1" applyFill="1"/>
    <xf numFmtId="0" fontId="47" fillId="0" borderId="0" xfId="84" applyFont="1" applyFill="1"/>
    <xf numFmtId="2" fontId="47" fillId="0" borderId="9" xfId="84" applyNumberFormat="1" applyFont="1" applyFill="1" applyBorder="1" applyAlignment="1">
      <alignment horizontal="center"/>
    </xf>
    <xf numFmtId="1" fontId="47" fillId="0" borderId="9" xfId="84" applyNumberFormat="1" applyFont="1" applyFill="1" applyBorder="1" applyAlignment="1">
      <alignment horizontal="center"/>
    </xf>
    <xf numFmtId="2" fontId="47" fillId="0" borderId="9" xfId="84" applyNumberFormat="1" applyFont="1" applyBorder="1" applyAlignment="1">
      <alignment horizontal="center"/>
    </xf>
    <xf numFmtId="0" fontId="47" fillId="0" borderId="4" xfId="84" applyFont="1" applyBorder="1"/>
    <xf numFmtId="0" fontId="47" fillId="0" borderId="7" xfId="84" applyFont="1" applyBorder="1" applyAlignment="1">
      <alignment horizontal="center"/>
    </xf>
    <xf numFmtId="0" fontId="47" fillId="0" borderId="7" xfId="84" applyFont="1" applyBorder="1"/>
    <xf numFmtId="0" fontId="47" fillId="0" borderId="8" xfId="84" applyFont="1" applyBorder="1" applyAlignment="1">
      <alignment horizontal="center"/>
    </xf>
    <xf numFmtId="0" fontId="133" fillId="0" borderId="0" xfId="84" applyFont="1"/>
    <xf numFmtId="0" fontId="47" fillId="0" borderId="0" xfId="84" applyFont="1" applyBorder="1" applyAlignment="1"/>
    <xf numFmtId="0" fontId="47" fillId="0" borderId="9" xfId="84" applyFont="1" applyFill="1" applyBorder="1" applyAlignment="1">
      <alignment horizontal="center"/>
    </xf>
    <xf numFmtId="0" fontId="47" fillId="0" borderId="8" xfId="84" applyFont="1" applyBorder="1"/>
    <xf numFmtId="0" fontId="47" fillId="0" borderId="9" xfId="84" applyFont="1" applyBorder="1"/>
    <xf numFmtId="0" fontId="65" fillId="0" borderId="0" xfId="84" applyFont="1" applyAlignment="1">
      <alignment horizontal="center"/>
    </xf>
    <xf numFmtId="189" fontId="47" fillId="0" borderId="0" xfId="84" applyNumberFormat="1" applyFont="1"/>
    <xf numFmtId="2" fontId="42" fillId="0" borderId="4" xfId="84" applyNumberFormat="1" applyFont="1" applyFill="1" applyBorder="1" applyAlignment="1">
      <alignment horizontal="center"/>
    </xf>
    <xf numFmtId="0" fontId="71" fillId="0" borderId="0" xfId="84" applyFont="1" applyBorder="1" applyAlignment="1"/>
    <xf numFmtId="0" fontId="47" fillId="0" borderId="0" xfId="84" applyFont="1" applyBorder="1" applyAlignment="1">
      <alignment horizontal="center"/>
    </xf>
    <xf numFmtId="2" fontId="47" fillId="0" borderId="0" xfId="84" applyNumberFormat="1" applyFont="1" applyBorder="1" applyAlignment="1">
      <alignment horizontal="center"/>
    </xf>
    <xf numFmtId="2" fontId="65" fillId="0" borderId="0" xfId="84" applyNumberFormat="1" applyFont="1" applyAlignment="1">
      <alignment horizontal="center"/>
    </xf>
    <xf numFmtId="0" fontId="66" fillId="37" borderId="1" xfId="84" applyFont="1" applyFill="1" applyBorder="1" applyAlignment="1">
      <alignment horizontal="center"/>
    </xf>
    <xf numFmtId="0" fontId="66" fillId="37" borderId="3" xfId="84" applyFont="1" applyFill="1" applyBorder="1" applyAlignment="1">
      <alignment horizontal="center"/>
    </xf>
    <xf numFmtId="2" fontId="66" fillId="37" borderId="4" xfId="84" applyNumberFormat="1" applyFont="1" applyFill="1" applyBorder="1" applyAlignment="1">
      <alignment horizontal="center"/>
    </xf>
    <xf numFmtId="199" fontId="47" fillId="0" borderId="1" xfId="84" applyNumberFormat="1" applyFont="1" applyBorder="1" applyAlignment="1"/>
    <xf numFmtId="0" fontId="47" fillId="0" borderId="3" xfId="84" applyFont="1" applyBorder="1" applyAlignment="1">
      <alignment horizontal="center"/>
    </xf>
    <xf numFmtId="199" fontId="47" fillId="0" borderId="41" xfId="84" applyNumberFormat="1" applyFont="1" applyBorder="1" applyAlignment="1">
      <alignment horizontal="center"/>
    </xf>
    <xf numFmtId="188" fontId="134" fillId="0" borderId="4" xfId="84" applyNumberFormat="1" applyFont="1" applyBorder="1" applyAlignment="1">
      <alignment horizontal="center"/>
    </xf>
    <xf numFmtId="0" fontId="47" fillId="0" borderId="4" xfId="84" applyFont="1" applyBorder="1" applyAlignment="1">
      <alignment horizontal="left"/>
    </xf>
    <xf numFmtId="189" fontId="134" fillId="0" borderId="4" xfId="84" applyNumberFormat="1" applyFont="1" applyBorder="1" applyAlignment="1">
      <alignment horizontal="center"/>
    </xf>
    <xf numFmtId="188" fontId="134" fillId="0" borderId="0" xfId="84" applyNumberFormat="1" applyFont="1" applyAlignment="1">
      <alignment horizontal="center"/>
    </xf>
    <xf numFmtId="189" fontId="42" fillId="0" borderId="0" xfId="0" applyNumberFormat="1" applyFont="1"/>
    <xf numFmtId="0" fontId="47" fillId="0" borderId="4" xfId="84" applyFont="1" applyFill="1" applyBorder="1" applyAlignment="1">
      <alignment horizontal="center"/>
    </xf>
    <xf numFmtId="0" fontId="66" fillId="0" borderId="4" xfId="84" applyFont="1" applyBorder="1" applyAlignment="1">
      <alignment horizontal="center"/>
    </xf>
    <xf numFmtId="0" fontId="66" fillId="0" borderId="4" xfId="84" applyFont="1" applyBorder="1"/>
    <xf numFmtId="2" fontId="44" fillId="42" borderId="4" xfId="0" applyNumberFormat="1" applyFont="1" applyFill="1" applyBorder="1" applyAlignment="1">
      <alignment horizontal="center"/>
    </xf>
    <xf numFmtId="0" fontId="44" fillId="42" borderId="4" xfId="0" applyFont="1" applyFill="1" applyBorder="1" applyAlignment="1">
      <alignment horizontal="center"/>
    </xf>
    <xf numFmtId="0" fontId="44" fillId="0" borderId="4" xfId="0" applyFont="1" applyBorder="1" applyAlignment="1">
      <alignment horizontal="center" vertical="center"/>
    </xf>
    <xf numFmtId="39" fontId="42" fillId="0" borderId="0" xfId="0" applyNumberFormat="1" applyFont="1" applyFill="1" applyBorder="1" applyAlignment="1" applyProtection="1">
      <alignment horizontal="right"/>
    </xf>
    <xf numFmtId="39" fontId="49" fillId="0" borderId="61" xfId="0" applyNumberFormat="1" applyFont="1" applyBorder="1" applyAlignment="1" applyProtection="1">
      <alignment vertical="center"/>
    </xf>
    <xf numFmtId="0" fontId="71" fillId="37" borderId="4" xfId="84" applyFont="1" applyFill="1" applyBorder="1" applyAlignment="1">
      <alignment horizontal="center"/>
    </xf>
    <xf numFmtId="2" fontId="166" fillId="31" borderId="4" xfId="84" applyNumberFormat="1" applyFont="1" applyFill="1" applyBorder="1" applyAlignment="1">
      <alignment horizontal="center"/>
    </xf>
    <xf numFmtId="0" fontId="166" fillId="31" borderId="4" xfId="84" applyFont="1" applyFill="1" applyBorder="1" applyAlignment="1">
      <alignment horizontal="center"/>
    </xf>
    <xf numFmtId="2" fontId="47" fillId="0" borderId="19" xfId="84" applyNumberFormat="1" applyFont="1" applyFill="1" applyBorder="1" applyAlignment="1">
      <alignment horizontal="center"/>
    </xf>
    <xf numFmtId="189" fontId="47" fillId="0" borderId="19" xfId="84" applyNumberFormat="1" applyFont="1" applyBorder="1" applyAlignment="1">
      <alignment horizontal="center"/>
    </xf>
    <xf numFmtId="189" fontId="135" fillId="0" borderId="19" xfId="84" applyNumberFormat="1" applyFont="1" applyBorder="1" applyAlignment="1">
      <alignment horizontal="center"/>
    </xf>
    <xf numFmtId="189" fontId="136" fillId="0" borderId="0" xfId="84" applyNumberFormat="1" applyFont="1" applyAlignment="1">
      <alignment horizontal="center"/>
    </xf>
    <xf numFmtId="189" fontId="135" fillId="0" borderId="4" xfId="84" applyNumberFormat="1" applyFont="1" applyBorder="1" applyAlignment="1">
      <alignment horizontal="center"/>
    </xf>
    <xf numFmtId="189" fontId="47" fillId="0" borderId="0" xfId="84" applyNumberFormat="1" applyFont="1" applyAlignment="1">
      <alignment horizontal="center"/>
    </xf>
    <xf numFmtId="0" fontId="66" fillId="0" borderId="0" xfId="84" applyFont="1" applyBorder="1" applyAlignment="1"/>
    <xf numFmtId="0" fontId="66" fillId="0" borderId="0" xfId="84" applyFont="1" applyFill="1" applyAlignment="1">
      <alignment horizontal="center"/>
    </xf>
    <xf numFmtId="189" fontId="66" fillId="0" borderId="0" xfId="84" applyNumberFormat="1" applyFont="1" applyAlignment="1">
      <alignment horizontal="right"/>
    </xf>
    <xf numFmtId="0" fontId="66" fillId="0" borderId="0" xfId="84" applyFont="1" applyFill="1"/>
    <xf numFmtId="189" fontId="66" fillId="0" borderId="0" xfId="84" applyNumberFormat="1" applyFont="1" applyFill="1" applyAlignment="1">
      <alignment horizontal="right"/>
    </xf>
    <xf numFmtId="0" fontId="66" fillId="0" borderId="0" xfId="84" applyFont="1" applyFill="1" applyAlignment="1">
      <alignment horizontal="left"/>
    </xf>
    <xf numFmtId="0" fontId="66" fillId="0" borderId="0" xfId="84" applyFont="1" applyFill="1" applyAlignment="1">
      <alignment horizontal="right"/>
    </xf>
    <xf numFmtId="0" fontId="66" fillId="37" borderId="4" xfId="84" applyFont="1" applyFill="1" applyBorder="1" applyAlignment="1">
      <alignment horizontal="center" vertical="center" wrapText="1"/>
    </xf>
    <xf numFmtId="0" fontId="66" fillId="0" borderId="0" xfId="84" applyFont="1" applyAlignment="1">
      <alignment horizontal="center"/>
    </xf>
    <xf numFmtId="2" fontId="47" fillId="0" borderId="0" xfId="84" applyNumberFormat="1" applyFont="1" applyFill="1" applyBorder="1" applyAlignment="1">
      <alignment horizontal="center"/>
    </xf>
    <xf numFmtId="189" fontId="47" fillId="0" borderId="0" xfId="84" applyNumberFormat="1" applyFont="1" applyFill="1" applyBorder="1" applyAlignment="1">
      <alignment horizontal="center"/>
    </xf>
    <xf numFmtId="189" fontId="66" fillId="0" borderId="0" xfId="84" applyNumberFormat="1" applyFont="1"/>
    <xf numFmtId="200" fontId="66" fillId="0" borderId="0" xfId="24" applyNumberFormat="1" applyFont="1" applyAlignment="1">
      <alignment horizontal="right"/>
    </xf>
    <xf numFmtId="189" fontId="65" fillId="0" borderId="4" xfId="84" applyNumberFormat="1" applyFont="1" applyBorder="1" applyAlignment="1">
      <alignment horizontal="center"/>
    </xf>
    <xf numFmtId="189" fontId="65" fillId="0" borderId="0" xfId="84" applyNumberFormat="1" applyFont="1" applyBorder="1" applyAlignment="1">
      <alignment horizontal="center"/>
    </xf>
    <xf numFmtId="189" fontId="137" fillId="0" borderId="0" xfId="84" applyNumberFormat="1" applyFont="1" applyAlignment="1">
      <alignment horizontal="right"/>
    </xf>
    <xf numFmtId="0" fontId="47" fillId="0" borderId="0" xfId="84" applyFont="1" applyAlignment="1"/>
    <xf numFmtId="2" fontId="66" fillId="0" borderId="0" xfId="84" applyNumberFormat="1" applyFont="1"/>
    <xf numFmtId="0" fontId="138" fillId="0" borderId="0" xfId="84" applyFont="1" applyBorder="1" applyAlignment="1"/>
    <xf numFmtId="200" fontId="47" fillId="0" borderId="4" xfId="24" applyNumberFormat="1" applyFont="1" applyBorder="1" applyAlignment="1">
      <alignment horizontal="center"/>
    </xf>
    <xf numFmtId="0" fontId="44" fillId="33" borderId="103" xfId="0" applyFont="1" applyFill="1" applyBorder="1" applyAlignment="1">
      <alignment vertical="center"/>
    </xf>
    <xf numFmtId="0" fontId="44" fillId="33" borderId="66" xfId="0" applyFont="1" applyFill="1" applyBorder="1" applyAlignment="1">
      <alignment vertical="center"/>
    </xf>
    <xf numFmtId="2" fontId="49" fillId="13" borderId="0" xfId="51" applyNumberFormat="1" applyFont="1" applyFill="1"/>
    <xf numFmtId="0" fontId="139" fillId="0" borderId="0" xfId="0" applyFont="1"/>
    <xf numFmtId="0" fontId="42" fillId="13" borderId="5" xfId="51" applyFont="1" applyFill="1" applyBorder="1" applyAlignment="1">
      <alignment horizontal="center"/>
    </xf>
    <xf numFmtId="0" fontId="42" fillId="13" borderId="4" xfId="51" applyFont="1" applyFill="1" applyBorder="1" applyAlignment="1">
      <alignment horizontal="center"/>
    </xf>
    <xf numFmtId="0" fontId="44" fillId="13" borderId="0" xfId="51" applyFont="1" applyFill="1"/>
    <xf numFmtId="0" fontId="34" fillId="0" borderId="0" xfId="51" applyFont="1" applyFill="1" applyBorder="1" applyAlignment="1">
      <alignment vertical="center"/>
    </xf>
    <xf numFmtId="199" fontId="66" fillId="6" borderId="0" xfId="51" applyNumberFormat="1" applyFont="1" applyFill="1" applyBorder="1" applyAlignment="1" applyProtection="1">
      <alignment horizontal="center"/>
      <protection hidden="1"/>
    </xf>
    <xf numFmtId="43" fontId="42" fillId="13" borderId="23" xfId="79" applyFont="1" applyFill="1" applyBorder="1" applyAlignment="1">
      <alignment horizontal="center"/>
    </xf>
    <xf numFmtId="43" fontId="42" fillId="13" borderId="41" xfId="79" applyFont="1" applyFill="1" applyBorder="1" applyAlignment="1">
      <alignment horizontal="center"/>
    </xf>
    <xf numFmtId="187" fontId="49" fillId="0" borderId="54" xfId="0" applyNumberFormat="1" applyFont="1" applyBorder="1" applyAlignment="1" applyProtection="1">
      <alignment vertical="center"/>
    </xf>
    <xf numFmtId="43" fontId="166" fillId="0" borderId="0" xfId="24" applyFont="1" applyBorder="1" applyAlignment="1" applyProtection="1">
      <alignment vertical="center"/>
      <protection hidden="1"/>
    </xf>
    <xf numFmtId="198" fontId="49" fillId="0" borderId="0" xfId="24" applyNumberFormat="1" applyFont="1" applyAlignment="1" applyProtection="1">
      <alignment vertical="center"/>
    </xf>
    <xf numFmtId="39" fontId="42" fillId="0" borderId="47" xfId="54" applyFont="1" applyFill="1" applyBorder="1" applyAlignment="1">
      <alignment horizontal="center"/>
    </xf>
    <xf numFmtId="39" fontId="42" fillId="0" borderId="72" xfId="54" applyFont="1" applyFill="1" applyBorder="1" applyAlignment="1">
      <alignment horizontal="center"/>
    </xf>
    <xf numFmtId="39" fontId="42" fillId="0" borderId="50" xfId="54" applyFont="1" applyFill="1" applyBorder="1" applyAlignment="1">
      <alignment horizontal="center"/>
    </xf>
    <xf numFmtId="193" fontId="54" fillId="0" borderId="52" xfId="0" applyNumberFormat="1" applyFont="1" applyBorder="1" applyAlignment="1">
      <alignment horizontal="center"/>
    </xf>
    <xf numFmtId="193" fontId="54" fillId="0" borderId="38" xfId="0" applyNumberFormat="1" applyFont="1" applyBorder="1" applyAlignment="1">
      <alignment horizontal="center"/>
    </xf>
    <xf numFmtId="0" fontId="42" fillId="0" borderId="61" xfId="0" applyFont="1" applyBorder="1"/>
    <xf numFmtId="0" fontId="49" fillId="0" borderId="0" xfId="0" applyFont="1" applyAlignment="1" applyProtection="1">
      <alignment vertical="center"/>
    </xf>
    <xf numFmtId="224" fontId="42" fillId="0" borderId="61" xfId="0" applyNumberFormat="1" applyFont="1" applyFill="1" applyBorder="1" applyAlignment="1" applyProtection="1">
      <alignment horizontal="left"/>
    </xf>
    <xf numFmtId="0" fontId="67" fillId="0" borderId="0" xfId="84" applyFont="1" applyProtection="1">
      <protection hidden="1"/>
    </xf>
    <xf numFmtId="0" fontId="86" fillId="0" borderId="0" xfId="84" applyFont="1"/>
    <xf numFmtId="0" fontId="42" fillId="0" borderId="0" xfId="92" applyFont="1"/>
    <xf numFmtId="0" fontId="36" fillId="0" borderId="0" xfId="0" applyFont="1" applyAlignment="1" applyProtection="1">
      <alignment horizontal="left" vertical="center" wrapText="1"/>
    </xf>
    <xf numFmtId="0" fontId="44" fillId="0" borderId="0" xfId="0" applyFont="1" applyBorder="1" applyAlignment="1" applyProtection="1">
      <alignment vertical="center"/>
    </xf>
    <xf numFmtId="0" fontId="49" fillId="0" borderId="19" xfId="51" applyFont="1" applyBorder="1" applyAlignment="1">
      <alignment horizontal="center" vertical="center"/>
    </xf>
    <xf numFmtId="0" fontId="49" fillId="0" borderId="4" xfId="51" applyFont="1" applyBorder="1" applyAlignment="1">
      <alignment horizontal="center" vertical="center"/>
    </xf>
    <xf numFmtId="0" fontId="42" fillId="0" borderId="59" xfId="51" applyFont="1" applyBorder="1" applyAlignment="1">
      <alignment vertical="center"/>
    </xf>
    <xf numFmtId="41" fontId="162" fillId="41" borderId="59" xfId="0" applyNumberFormat="1" applyFont="1" applyFill="1" applyBorder="1" applyAlignment="1" applyProtection="1">
      <alignment vertical="center"/>
    </xf>
    <xf numFmtId="2" fontId="42" fillId="0" borderId="0" xfId="0" applyNumberFormat="1" applyFont="1" applyBorder="1" applyAlignment="1" applyProtection="1">
      <alignment vertical="center"/>
    </xf>
    <xf numFmtId="49" fontId="44" fillId="0" borderId="0" xfId="0" applyNumberFormat="1" applyFont="1" applyBorder="1" applyAlignment="1" applyProtection="1">
      <alignment vertical="center"/>
    </xf>
    <xf numFmtId="39" fontId="42" fillId="0" borderId="56" xfId="0" applyNumberFormat="1" applyFont="1" applyBorder="1" applyAlignment="1" applyProtection="1">
      <alignment horizontal="left" vertical="center"/>
    </xf>
    <xf numFmtId="43" fontId="42" fillId="0" borderId="59" xfId="24" applyFont="1" applyFill="1" applyBorder="1" applyAlignment="1" applyProtection="1">
      <alignment horizontal="left" vertical="center"/>
    </xf>
    <xf numFmtId="43" fontId="42" fillId="0" borderId="59" xfId="24" applyFont="1" applyBorder="1"/>
    <xf numFmtId="43" fontId="42" fillId="0" borderId="59" xfId="24" applyFont="1" applyBorder="1" applyAlignment="1">
      <alignment vertical="center"/>
    </xf>
    <xf numFmtId="43" fontId="42" fillId="0" borderId="59" xfId="24" applyFont="1" applyBorder="1" applyAlignment="1" applyProtection="1">
      <alignment horizontal="left" vertical="center"/>
    </xf>
    <xf numFmtId="43" fontId="42" fillId="0" borderId="102" xfId="24" applyFont="1" applyBorder="1" applyAlignment="1" applyProtection="1">
      <alignment horizontal="left" vertical="center"/>
    </xf>
    <xf numFmtId="43" fontId="42" fillId="0" borderId="102" xfId="24" applyFont="1" applyBorder="1"/>
    <xf numFmtId="43" fontId="42" fillId="0" borderId="102" xfId="24" applyFont="1" applyBorder="1" applyAlignment="1">
      <alignment vertical="center"/>
    </xf>
    <xf numFmtId="43" fontId="42" fillId="0" borderId="8" xfId="24" applyFont="1" applyBorder="1" applyAlignment="1" applyProtection="1">
      <alignment horizontal="left" vertical="center"/>
    </xf>
    <xf numFmtId="43" fontId="42" fillId="0" borderId="8" xfId="24" applyFont="1" applyBorder="1"/>
    <xf numFmtId="43" fontId="42" fillId="0" borderId="8" xfId="24" applyFont="1" applyBorder="1" applyAlignment="1">
      <alignment vertical="center"/>
    </xf>
    <xf numFmtId="43" fontId="42" fillId="0" borderId="9" xfId="24" applyFont="1" applyBorder="1" applyAlignment="1" applyProtection="1">
      <alignment horizontal="left" vertical="center"/>
    </xf>
    <xf numFmtId="43" fontId="42" fillId="0" borderId="9" xfId="24" applyFont="1" applyBorder="1"/>
    <xf numFmtId="198" fontId="49" fillId="0" borderId="0" xfId="24" applyNumberFormat="1" applyFont="1" applyAlignment="1">
      <alignment vertical="center"/>
    </xf>
    <xf numFmtId="0" fontId="109" fillId="0" borderId="24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198" fontId="108" fillId="0" borderId="24" xfId="0" applyNumberFormat="1" applyFont="1" applyBorder="1" applyAlignment="1">
      <alignment vertical="center"/>
    </xf>
    <xf numFmtId="43" fontId="42" fillId="0" borderId="24" xfId="0" applyNumberFormat="1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0" xfId="0" applyFont="1" applyFill="1" applyBorder="1" applyAlignment="1" applyProtection="1">
      <alignment vertical="center"/>
      <protection locked="0"/>
    </xf>
    <xf numFmtId="0" fontId="34" fillId="0" borderId="0" xfId="0" applyFont="1" applyBorder="1" applyAlignment="1" applyProtection="1">
      <alignment vertical="center"/>
    </xf>
    <xf numFmtId="0" fontId="35" fillId="0" borderId="0" xfId="0" applyFont="1" applyBorder="1" applyAlignment="1" applyProtection="1">
      <alignment vertical="center"/>
    </xf>
    <xf numFmtId="0" fontId="35" fillId="0" borderId="23" xfId="0" applyFont="1" applyFill="1" applyBorder="1" applyAlignment="1" applyProtection="1">
      <alignment vertical="center"/>
      <protection locked="0"/>
    </xf>
    <xf numFmtId="39" fontId="34" fillId="4" borderId="0" xfId="0" applyNumberFormat="1" applyFont="1" applyFill="1" applyBorder="1" applyAlignment="1" applyProtection="1">
      <alignment horizontal="center" vertical="center"/>
      <protection locked="0"/>
    </xf>
    <xf numFmtId="39" fontId="35" fillId="0" borderId="0" xfId="0" applyNumberFormat="1" applyFont="1" applyBorder="1" applyAlignment="1" applyProtection="1">
      <alignment vertical="center"/>
    </xf>
    <xf numFmtId="1" fontId="153" fillId="9" borderId="0" xfId="0" applyNumberFormat="1" applyFont="1" applyFill="1" applyBorder="1" applyAlignment="1" applyProtection="1">
      <alignment horizontal="center" vertical="center"/>
      <protection locked="0"/>
    </xf>
    <xf numFmtId="0" fontId="35" fillId="0" borderId="23" xfId="0" applyFont="1" applyBorder="1" applyAlignment="1" applyProtection="1">
      <alignment vertical="center"/>
    </xf>
    <xf numFmtId="0" fontId="154" fillId="0" borderId="0" xfId="0" applyFont="1" applyFill="1" applyBorder="1" applyAlignment="1" applyProtection="1">
      <alignment horizontal="left" vertical="center"/>
      <protection locked="0"/>
    </xf>
    <xf numFmtId="0" fontId="148" fillId="0" borderId="0" xfId="0" applyFont="1" applyBorder="1" applyAlignment="1" applyProtection="1">
      <alignment vertical="center"/>
    </xf>
    <xf numFmtId="39" fontId="34" fillId="4" borderId="18" xfId="0" applyNumberFormat="1" applyFont="1" applyFill="1" applyBorder="1" applyAlignment="1" applyProtection="1">
      <alignment horizontal="center" vertical="center"/>
      <protection locked="0"/>
    </xf>
    <xf numFmtId="0" fontId="69" fillId="0" borderId="18" xfId="0" applyFont="1" applyFill="1" applyBorder="1" applyAlignment="1" applyProtection="1">
      <alignment vertical="center"/>
      <protection locked="0"/>
    </xf>
    <xf numFmtId="0" fontId="35" fillId="0" borderId="18" xfId="0" applyFont="1" applyBorder="1" applyAlignment="1" applyProtection="1">
      <alignment vertical="center"/>
    </xf>
    <xf numFmtId="189" fontId="69" fillId="0" borderId="18" xfId="0" applyNumberFormat="1" applyFont="1" applyFill="1" applyBorder="1" applyAlignment="1" applyProtection="1">
      <alignment horizontal="center" vertical="center"/>
      <protection locked="0"/>
    </xf>
    <xf numFmtId="0" fontId="35" fillId="0" borderId="26" xfId="0" applyFont="1" applyBorder="1" applyAlignment="1" applyProtection="1">
      <alignment vertical="center"/>
    </xf>
    <xf numFmtId="0" fontId="49" fillId="25" borderId="19" xfId="51" applyFont="1" applyFill="1" applyBorder="1" applyAlignment="1">
      <alignment vertical="center"/>
    </xf>
    <xf numFmtId="0" fontId="34" fillId="0" borderId="4" xfId="0" applyFont="1" applyFill="1" applyBorder="1" applyAlignment="1" applyProtection="1">
      <alignment horizontal="center" vertical="center"/>
    </xf>
    <xf numFmtId="43" fontId="34" fillId="0" borderId="4" xfId="24" applyFont="1" applyFill="1" applyBorder="1" applyAlignment="1" applyProtection="1">
      <alignment horizontal="center" vertical="center"/>
    </xf>
    <xf numFmtId="43" fontId="34" fillId="0" borderId="4" xfId="24" applyFont="1" applyBorder="1" applyAlignment="1">
      <alignment horizontal="center" vertical="center"/>
    </xf>
    <xf numFmtId="221" fontId="162" fillId="41" borderId="59" xfId="0" applyNumberFormat="1" applyFont="1" applyFill="1" applyBorder="1" applyAlignment="1" applyProtection="1">
      <alignment vertical="center"/>
    </xf>
    <xf numFmtId="41" fontId="162" fillId="41" borderId="54" xfId="0" applyNumberFormat="1" applyFont="1" applyFill="1" applyBorder="1" applyAlignment="1" applyProtection="1">
      <alignment vertical="center"/>
    </xf>
    <xf numFmtId="39" fontId="49" fillId="0" borderId="61" xfId="0" applyNumberFormat="1" applyFont="1" applyBorder="1" applyAlignment="1" applyProtection="1">
      <alignment horizontal="left" vertical="center"/>
    </xf>
    <xf numFmtId="0" fontId="42" fillId="0" borderId="4" xfId="0" applyFont="1" applyBorder="1" applyAlignment="1">
      <alignment horizontal="center"/>
    </xf>
    <xf numFmtId="228" fontId="42" fillId="0" borderId="0" xfId="0" applyNumberFormat="1" applyFont="1" applyFill="1"/>
    <xf numFmtId="0" fontId="48" fillId="0" borderId="55" xfId="0" applyFont="1" applyFill="1" applyBorder="1" applyAlignment="1" applyProtection="1">
      <alignment horizontal="center" vertical="center"/>
    </xf>
    <xf numFmtId="0" fontId="42" fillId="0" borderId="101" xfId="0" applyFont="1" applyFill="1" applyBorder="1" applyAlignment="1" applyProtection="1">
      <alignment horizontal="center" vertical="center"/>
    </xf>
    <xf numFmtId="0" fontId="49" fillId="0" borderId="4" xfId="51" applyFont="1" applyBorder="1" applyAlignment="1">
      <alignment horizontal="center" vertical="center"/>
    </xf>
    <xf numFmtId="0" fontId="42" fillId="0" borderId="4" xfId="0" applyFont="1" applyBorder="1" applyAlignment="1">
      <alignment horizontal="center"/>
    </xf>
    <xf numFmtId="0" fontId="42" fillId="25" borderId="0" xfId="0" applyFont="1" applyFill="1" applyBorder="1" applyAlignment="1" applyProtection="1">
      <alignment horizontal="center" vertical="center"/>
    </xf>
    <xf numFmtId="43" fontId="42" fillId="25" borderId="0" xfId="24" applyFont="1" applyFill="1" applyBorder="1" applyAlignment="1" applyProtection="1">
      <alignment vertical="center"/>
    </xf>
    <xf numFmtId="2" fontId="47" fillId="6" borderId="85" xfId="51" applyNumberFormat="1" applyFont="1" applyFill="1" applyBorder="1" applyAlignment="1">
      <alignment horizontal="center"/>
    </xf>
    <xf numFmtId="0" fontId="47" fillId="6" borderId="87" xfId="51" applyFont="1" applyFill="1" applyBorder="1" applyAlignment="1">
      <alignment horizontal="center"/>
    </xf>
    <xf numFmtId="0" fontId="47" fillId="0" borderId="72" xfId="51" applyFont="1" applyFill="1" applyBorder="1" applyAlignment="1">
      <alignment horizontal="center"/>
    </xf>
    <xf numFmtId="2" fontId="47" fillId="6" borderId="72" xfId="51" applyNumberFormat="1" applyFont="1" applyFill="1" applyBorder="1" applyAlignment="1">
      <alignment horizontal="center"/>
    </xf>
    <xf numFmtId="0" fontId="47" fillId="6" borderId="6" xfId="51" applyFont="1" applyFill="1" applyBorder="1" applyAlignment="1">
      <alignment horizontal="center"/>
    </xf>
    <xf numFmtId="189" fontId="47" fillId="0" borderId="48" xfId="51" applyNumberFormat="1" applyFont="1" applyBorder="1" applyAlignment="1">
      <alignment horizontal="center"/>
    </xf>
    <xf numFmtId="189" fontId="47" fillId="0" borderId="10" xfId="51" applyNumberFormat="1" applyFont="1" applyBorder="1" applyAlignment="1">
      <alignment horizontal="center"/>
    </xf>
    <xf numFmtId="0" fontId="47" fillId="0" borderId="26" xfId="51" applyFont="1" applyFill="1" applyBorder="1" applyAlignment="1">
      <alignment horizontal="center" vertical="center"/>
    </xf>
    <xf numFmtId="2" fontId="47" fillId="0" borderId="10" xfId="51" applyNumberFormat="1" applyFont="1" applyFill="1" applyBorder="1" applyAlignment="1">
      <alignment horizontal="center"/>
    </xf>
    <xf numFmtId="189" fontId="42" fillId="0" borderId="10" xfId="51" applyNumberFormat="1" applyFont="1" applyBorder="1" applyAlignment="1">
      <alignment horizontal="center" vertical="center"/>
    </xf>
    <xf numFmtId="2" fontId="47" fillId="0" borderId="10" xfId="51" applyNumberFormat="1" applyFont="1" applyBorder="1" applyAlignment="1">
      <alignment horizontal="center"/>
    </xf>
    <xf numFmtId="189" fontId="65" fillId="0" borderId="6" xfId="51" applyNumberFormat="1" applyFont="1" applyBorder="1" applyAlignment="1">
      <alignment horizontal="center"/>
    </xf>
    <xf numFmtId="0" fontId="66" fillId="24" borderId="48" xfId="51" applyFont="1" applyFill="1" applyBorder="1" applyAlignment="1">
      <alignment horizontal="center" vertical="center" wrapText="1"/>
    </xf>
    <xf numFmtId="0" fontId="66" fillId="24" borderId="45" xfId="51" applyFont="1" applyFill="1" applyBorder="1" applyAlignment="1">
      <alignment horizontal="center" vertical="center" wrapText="1"/>
    </xf>
    <xf numFmtId="0" fontId="71" fillId="24" borderId="79" xfId="51" applyFont="1" applyFill="1" applyBorder="1" applyAlignment="1">
      <alignment horizontal="center" vertical="center"/>
    </xf>
    <xf numFmtId="0" fontId="71" fillId="24" borderId="80" xfId="51" applyFont="1" applyFill="1" applyBorder="1" applyAlignment="1">
      <alignment horizontal="center" vertical="center"/>
    </xf>
    <xf numFmtId="0" fontId="66" fillId="24" borderId="80" xfId="51" applyFont="1" applyFill="1" applyBorder="1" applyAlignment="1">
      <alignment horizontal="center" vertical="center"/>
    </xf>
    <xf numFmtId="0" fontId="66" fillId="24" borderId="51" xfId="51" applyFont="1" applyFill="1" applyBorder="1" applyAlignment="1">
      <alignment horizontal="center" vertical="center" wrapText="1"/>
    </xf>
    <xf numFmtId="0" fontId="66" fillId="24" borderId="52" xfId="51" applyFont="1" applyFill="1" applyBorder="1" applyAlignment="1">
      <alignment horizontal="center" vertical="center" wrapText="1"/>
    </xf>
    <xf numFmtId="0" fontId="40" fillId="0" borderId="0" xfId="51" applyFont="1" applyAlignment="1">
      <alignment vertical="center"/>
    </xf>
    <xf numFmtId="189" fontId="47" fillId="0" borderId="51" xfId="51" applyNumberFormat="1" applyFont="1" applyBorder="1" applyAlignment="1">
      <alignment horizontal="center"/>
    </xf>
    <xf numFmtId="0" fontId="186" fillId="24" borderId="47" xfId="51" applyFont="1" applyFill="1" applyBorder="1" applyAlignment="1">
      <alignment horizontal="center" vertical="center" wrapText="1"/>
    </xf>
    <xf numFmtId="0" fontId="186" fillId="24" borderId="48" xfId="51" applyFont="1" applyFill="1" applyBorder="1" applyAlignment="1">
      <alignment horizontal="center" vertical="center" wrapText="1"/>
    </xf>
    <xf numFmtId="0" fontId="186" fillId="24" borderId="45" xfId="51" applyFont="1" applyFill="1" applyBorder="1" applyAlignment="1">
      <alignment horizontal="center" vertical="center" wrapText="1"/>
    </xf>
    <xf numFmtId="0" fontId="186" fillId="24" borderId="47" xfId="51" applyFont="1" applyFill="1" applyBorder="1" applyAlignment="1">
      <alignment horizontal="center"/>
    </xf>
    <xf numFmtId="0" fontId="186" fillId="24" borderId="48" xfId="51" applyFont="1" applyFill="1" applyBorder="1" applyAlignment="1">
      <alignment horizontal="center"/>
    </xf>
    <xf numFmtId="0" fontId="186" fillId="24" borderId="45" xfId="51" applyFont="1" applyFill="1" applyBorder="1" applyAlignment="1">
      <alignment horizontal="center"/>
    </xf>
    <xf numFmtId="0" fontId="186" fillId="24" borderId="50" xfId="51" applyFont="1" applyFill="1" applyBorder="1" applyAlignment="1">
      <alignment horizontal="center" vertical="center"/>
    </xf>
    <xf numFmtId="0" fontId="186" fillId="24" borderId="51" xfId="51" applyFont="1" applyFill="1" applyBorder="1" applyAlignment="1">
      <alignment horizontal="center" vertical="center"/>
    </xf>
    <xf numFmtId="0" fontId="186" fillId="24" borderId="52" xfId="51" applyFont="1" applyFill="1" applyBorder="1" applyAlignment="1">
      <alignment horizontal="center" vertical="center"/>
    </xf>
    <xf numFmtId="0" fontId="156" fillId="24" borderId="71" xfId="51" applyFont="1" applyFill="1" applyBorder="1" applyAlignment="1" applyProtection="1">
      <alignment vertical="center"/>
    </xf>
    <xf numFmtId="0" fontId="156" fillId="24" borderId="74" xfId="51" applyFont="1" applyFill="1" applyBorder="1" applyAlignment="1" applyProtection="1">
      <alignment vertical="center"/>
    </xf>
    <xf numFmtId="0" fontId="156" fillId="24" borderId="78" xfId="51" applyFont="1" applyFill="1" applyBorder="1" applyAlignment="1" applyProtection="1">
      <alignment vertical="center"/>
    </xf>
    <xf numFmtId="189" fontId="157" fillId="0" borderId="85" xfId="51" applyNumberFormat="1" applyFont="1" applyFill="1" applyBorder="1" applyAlignment="1">
      <alignment horizontal="center" vertical="center"/>
    </xf>
    <xf numFmtId="189" fontId="157" fillId="0" borderId="86" xfId="51" applyNumberFormat="1" applyFont="1" applyFill="1" applyBorder="1" applyAlignment="1">
      <alignment horizontal="center" vertical="center"/>
    </xf>
    <xf numFmtId="189" fontId="157" fillId="0" borderId="87" xfId="51" applyNumberFormat="1" applyFont="1" applyFill="1" applyBorder="1" applyAlignment="1" applyProtection="1">
      <alignment horizontal="center" vertical="center"/>
    </xf>
    <xf numFmtId="189" fontId="157" fillId="0" borderId="85" xfId="51" applyNumberFormat="1" applyFont="1" applyFill="1" applyBorder="1" applyAlignment="1">
      <alignment horizontal="center"/>
    </xf>
    <xf numFmtId="0" fontId="157" fillId="0" borderId="86" xfId="51" applyFont="1" applyFill="1" applyBorder="1" applyAlignment="1">
      <alignment horizontal="center"/>
    </xf>
    <xf numFmtId="0" fontId="157" fillId="0" borderId="87" xfId="51" applyFont="1" applyFill="1" applyBorder="1" applyAlignment="1">
      <alignment horizontal="center"/>
    </xf>
    <xf numFmtId="2" fontId="157" fillId="0" borderId="75" xfId="51" applyNumberFormat="1" applyFont="1" applyFill="1" applyBorder="1" applyAlignment="1">
      <alignment horizontal="center" vertical="center"/>
    </xf>
    <xf numFmtId="189" fontId="157" fillId="0" borderId="75" xfId="51" applyNumberFormat="1" applyFont="1" applyFill="1" applyBorder="1" applyAlignment="1">
      <alignment horizontal="center" vertical="center"/>
    </xf>
    <xf numFmtId="189" fontId="157" fillId="0" borderId="4" xfId="51" applyNumberFormat="1" applyFont="1" applyFill="1" applyBorder="1" applyAlignment="1">
      <alignment horizontal="center" vertical="center"/>
    </xf>
    <xf numFmtId="189" fontId="157" fillId="0" borderId="76" xfId="51" applyNumberFormat="1" applyFont="1" applyFill="1" applyBorder="1" applyAlignment="1" applyProtection="1">
      <alignment horizontal="center" vertical="center"/>
    </xf>
    <xf numFmtId="189" fontId="157" fillId="0" borderId="75" xfId="51" applyNumberFormat="1" applyFont="1" applyFill="1" applyBorder="1" applyAlignment="1">
      <alignment horizontal="center"/>
    </xf>
    <xf numFmtId="0" fontId="157" fillId="0" borderId="4" xfId="51" applyFont="1" applyFill="1" applyBorder="1" applyAlignment="1">
      <alignment horizontal="center"/>
    </xf>
    <xf numFmtId="0" fontId="157" fillId="0" borderId="76" xfId="51" applyFont="1" applyFill="1" applyBorder="1" applyAlignment="1">
      <alignment horizontal="center"/>
    </xf>
    <xf numFmtId="2" fontId="157" fillId="0" borderId="79" xfId="51" applyNumberFormat="1" applyFont="1" applyFill="1" applyBorder="1" applyAlignment="1">
      <alignment horizontal="center" vertical="center"/>
    </xf>
    <xf numFmtId="189" fontId="157" fillId="0" borderId="79" xfId="51" applyNumberFormat="1" applyFont="1" applyFill="1" applyBorder="1" applyAlignment="1">
      <alignment horizontal="center" vertical="center"/>
    </xf>
    <xf numFmtId="189" fontId="157" fillId="0" borderId="80" xfId="51" applyNumberFormat="1" applyFont="1" applyFill="1" applyBorder="1" applyAlignment="1">
      <alignment horizontal="center" vertical="center"/>
    </xf>
    <xf numFmtId="189" fontId="157" fillId="0" borderId="81" xfId="51" applyNumberFormat="1" applyFont="1" applyFill="1" applyBorder="1" applyAlignment="1" applyProtection="1">
      <alignment horizontal="center" vertical="center"/>
    </xf>
    <xf numFmtId="189" fontId="157" fillId="0" borderId="79" xfId="51" applyNumberFormat="1" applyFont="1" applyFill="1" applyBorder="1" applyAlignment="1">
      <alignment horizontal="center"/>
    </xf>
    <xf numFmtId="0" fontId="157" fillId="0" borderId="80" xfId="51" applyFont="1" applyFill="1" applyBorder="1" applyAlignment="1">
      <alignment horizontal="center"/>
    </xf>
    <xf numFmtId="0" fontId="157" fillId="0" borderId="81" xfId="51" applyFont="1" applyFill="1" applyBorder="1" applyAlignment="1">
      <alignment horizontal="center"/>
    </xf>
    <xf numFmtId="2" fontId="157" fillId="0" borderId="85" xfId="51" applyNumberFormat="1" applyFont="1" applyFill="1" applyBorder="1" applyAlignment="1">
      <alignment horizontal="center" vertical="center"/>
    </xf>
    <xf numFmtId="43" fontId="44" fillId="24" borderId="31" xfId="77" applyFont="1" applyFill="1" applyBorder="1" applyAlignment="1">
      <alignment horizontal="center" vertical="center"/>
    </xf>
    <xf numFmtId="0" fontId="71" fillId="24" borderId="68" xfId="51" applyFont="1" applyFill="1" applyBorder="1" applyAlignment="1">
      <alignment horizontal="center"/>
    </xf>
    <xf numFmtId="0" fontId="66" fillId="24" borderId="70" xfId="51" applyFont="1" applyFill="1" applyBorder="1" applyAlignment="1">
      <alignment horizontal="center"/>
    </xf>
    <xf numFmtId="0" fontId="191" fillId="24" borderId="36" xfId="51" applyFont="1" applyFill="1" applyBorder="1" applyAlignment="1">
      <alignment horizontal="center" vertical="center"/>
    </xf>
    <xf numFmtId="0" fontId="157" fillId="0" borderId="4" xfId="51" applyFont="1" applyFill="1" applyBorder="1" applyAlignment="1">
      <alignment horizontal="center" vertical="center"/>
    </xf>
    <xf numFmtId="2" fontId="157" fillId="0" borderId="4" xfId="24" applyNumberFormat="1" applyFont="1" applyFill="1" applyBorder="1" applyAlignment="1">
      <alignment horizontal="center" vertical="center"/>
    </xf>
    <xf numFmtId="2" fontId="157" fillId="0" borderId="4" xfId="51" applyNumberFormat="1" applyFont="1" applyFill="1" applyBorder="1" applyAlignment="1" applyProtection="1">
      <alignment horizontal="center" vertical="center"/>
    </xf>
    <xf numFmtId="0" fontId="157" fillId="0" borderId="87" xfId="51" applyFont="1" applyFill="1" applyBorder="1" applyAlignment="1">
      <alignment horizontal="center" vertical="center"/>
    </xf>
    <xf numFmtId="0" fontId="157" fillId="0" borderId="76" xfId="51" applyFont="1" applyFill="1" applyBorder="1" applyAlignment="1">
      <alignment horizontal="center" vertical="center"/>
    </xf>
    <xf numFmtId="0" fontId="157" fillId="0" borderId="81" xfId="51" applyFont="1" applyFill="1" applyBorder="1" applyAlignment="1">
      <alignment horizontal="center" vertical="center"/>
    </xf>
    <xf numFmtId="2" fontId="47" fillId="6" borderId="71" xfId="51" applyNumberFormat="1" applyFont="1" applyFill="1" applyBorder="1" applyAlignment="1">
      <alignment horizontal="center"/>
    </xf>
    <xf numFmtId="0" fontId="95" fillId="0" borderId="37" xfId="51" applyFont="1" applyBorder="1" applyAlignment="1">
      <alignment vertical="center"/>
    </xf>
    <xf numFmtId="0" fontId="95" fillId="0" borderId="38" xfId="51" applyFont="1" applyBorder="1" applyAlignment="1">
      <alignment vertical="center"/>
    </xf>
    <xf numFmtId="2" fontId="47" fillId="6" borderId="128" xfId="51" applyNumberFormat="1" applyFont="1" applyFill="1" applyBorder="1" applyAlignment="1">
      <alignment horizontal="center"/>
    </xf>
    <xf numFmtId="0" fontId="44" fillId="8" borderId="19" xfId="51" applyFont="1" applyFill="1" applyBorder="1" applyAlignment="1">
      <alignment horizontal="center"/>
    </xf>
    <xf numFmtId="0" fontId="75" fillId="24" borderId="47" xfId="51" applyFont="1" applyFill="1" applyBorder="1" applyAlignment="1">
      <alignment horizontal="center" vertical="center"/>
    </xf>
    <xf numFmtId="0" fontId="75" fillId="24" borderId="49" xfId="51" applyFont="1" applyFill="1" applyBorder="1" applyAlignment="1">
      <alignment horizontal="center" vertical="center"/>
    </xf>
    <xf numFmtId="43" fontId="75" fillId="24" borderId="50" xfId="51" applyNumberFormat="1" applyFont="1" applyFill="1" applyBorder="1" applyAlignment="1" applyProtection="1">
      <alignment horizontal="center" vertical="center"/>
      <protection hidden="1"/>
    </xf>
    <xf numFmtId="43" fontId="75" fillId="24" borderId="53" xfId="51" applyNumberFormat="1" applyFont="1" applyFill="1" applyBorder="1" applyAlignment="1" applyProtection="1">
      <alignment horizontal="center" vertical="center"/>
      <protection hidden="1"/>
    </xf>
    <xf numFmtId="43" fontId="42" fillId="0" borderId="4" xfId="77" applyFont="1" applyBorder="1" applyAlignment="1">
      <alignment vertical="center"/>
    </xf>
    <xf numFmtId="43" fontId="42" fillId="0" borderId="4" xfId="77" applyFont="1" applyBorder="1" applyAlignment="1">
      <alignment horizontal="center" vertical="center"/>
    </xf>
    <xf numFmtId="2" fontId="42" fillId="0" borderId="41" xfId="51" applyNumberFormat="1" applyFont="1" applyBorder="1" applyAlignment="1">
      <alignment horizontal="center" vertical="center"/>
    </xf>
    <xf numFmtId="189" fontId="42" fillId="0" borderId="41" xfId="51" applyNumberFormat="1" applyFont="1" applyBorder="1" applyAlignment="1">
      <alignment horizontal="center" vertical="center"/>
    </xf>
    <xf numFmtId="0" fontId="186" fillId="24" borderId="85" xfId="51" applyFont="1" applyFill="1" applyBorder="1" applyAlignment="1">
      <alignment horizontal="center" vertical="center"/>
    </xf>
    <xf numFmtId="0" fontId="156" fillId="24" borderId="87" xfId="51" applyFont="1" applyFill="1" applyBorder="1" applyAlignment="1">
      <alignment vertical="center"/>
    </xf>
    <xf numFmtId="0" fontId="186" fillId="24" borderId="75" xfId="51" applyFont="1" applyFill="1" applyBorder="1" applyAlignment="1">
      <alignment horizontal="center" vertical="center"/>
    </xf>
    <xf numFmtId="0" fontId="186" fillId="24" borderId="79" xfId="51" applyFont="1" applyFill="1" applyBorder="1" applyAlignment="1">
      <alignment horizontal="center" vertical="center"/>
    </xf>
    <xf numFmtId="189" fontId="49" fillId="0" borderId="85" xfId="51" applyNumberFormat="1" applyFont="1" applyBorder="1" applyAlignment="1">
      <alignment horizontal="center" vertical="center"/>
    </xf>
    <xf numFmtId="189" fontId="49" fillId="0" borderId="86" xfId="51" applyNumberFormat="1" applyFont="1" applyBorder="1" applyAlignment="1">
      <alignment horizontal="center" vertical="center"/>
    </xf>
    <xf numFmtId="0" fontId="49" fillId="0" borderId="86" xfId="51" applyFont="1" applyBorder="1" applyAlignment="1">
      <alignment horizontal="center" vertical="center"/>
    </xf>
    <xf numFmtId="43" fontId="49" fillId="0" borderId="86" xfId="77" applyFont="1" applyBorder="1" applyAlignment="1">
      <alignment horizontal="center" vertical="center"/>
    </xf>
    <xf numFmtId="43" fontId="49" fillId="0" borderId="87" xfId="77" applyFont="1" applyBorder="1" applyAlignment="1">
      <alignment horizontal="center" vertical="center"/>
    </xf>
    <xf numFmtId="189" fontId="49" fillId="0" borderId="75" xfId="51" applyNumberFormat="1" applyFont="1" applyBorder="1" applyAlignment="1">
      <alignment horizontal="center" vertical="center"/>
    </xf>
    <xf numFmtId="43" fontId="49" fillId="0" borderId="76" xfId="77" applyFont="1" applyBorder="1" applyAlignment="1">
      <alignment horizontal="center" vertical="center"/>
    </xf>
    <xf numFmtId="189" fontId="49" fillId="0" borderId="79" xfId="51" applyNumberFormat="1" applyFont="1" applyBorder="1" applyAlignment="1">
      <alignment horizontal="center" vertical="center"/>
    </xf>
    <xf numFmtId="189" fontId="49" fillId="0" borderId="80" xfId="51" applyNumberFormat="1" applyFont="1" applyBorder="1" applyAlignment="1">
      <alignment horizontal="center" vertical="center"/>
    </xf>
    <xf numFmtId="0" fontId="49" fillId="0" borderId="80" xfId="51" applyFont="1" applyBorder="1" applyAlignment="1">
      <alignment horizontal="center" vertical="center"/>
    </xf>
    <xf numFmtId="43" fontId="49" fillId="0" borderId="80" xfId="77" applyFont="1" applyBorder="1" applyAlignment="1">
      <alignment horizontal="center" vertical="center"/>
    </xf>
    <xf numFmtId="2" fontId="49" fillId="0" borderId="80" xfId="51" applyNumberFormat="1" applyFont="1" applyBorder="1" applyAlignment="1">
      <alignment horizontal="center" vertical="center"/>
    </xf>
    <xf numFmtId="43" fontId="49" fillId="0" borderId="81" xfId="77" applyFont="1" applyBorder="1" applyAlignment="1">
      <alignment horizontal="center" vertical="center"/>
    </xf>
    <xf numFmtId="43" fontId="42" fillId="0" borderId="86" xfId="77" applyFont="1" applyBorder="1" applyAlignment="1">
      <alignment horizontal="center" vertical="center"/>
    </xf>
    <xf numFmtId="43" fontId="42" fillId="0" borderId="87" xfId="77" applyFont="1" applyBorder="1" applyAlignment="1">
      <alignment horizontal="center" vertical="center"/>
    </xf>
    <xf numFmtId="43" fontId="42" fillId="0" borderId="76" xfId="77" applyFont="1" applyBorder="1" applyAlignment="1">
      <alignment horizontal="center" vertical="center"/>
    </xf>
    <xf numFmtId="43" fontId="42" fillId="0" borderId="76" xfId="77" applyFont="1" applyBorder="1" applyAlignment="1">
      <alignment vertical="center"/>
    </xf>
    <xf numFmtId="43" fontId="42" fillId="0" borderId="80" xfId="77" applyFont="1" applyBorder="1" applyAlignment="1">
      <alignment vertical="center"/>
    </xf>
    <xf numFmtId="43" fontId="42" fillId="0" borderId="80" xfId="77" applyFont="1" applyBorder="1" applyAlignment="1">
      <alignment horizontal="center" vertical="center"/>
    </xf>
    <xf numFmtId="43" fontId="42" fillId="0" borderId="81" xfId="77" applyFont="1" applyBorder="1" applyAlignment="1">
      <alignment vertical="center"/>
    </xf>
    <xf numFmtId="0" fontId="44" fillId="24" borderId="49" xfId="51" applyFont="1" applyFill="1" applyBorder="1" applyAlignment="1">
      <alignment horizontal="center" vertical="center"/>
    </xf>
    <xf numFmtId="43" fontId="44" fillId="24" borderId="53" xfId="51" applyNumberFormat="1" applyFont="1" applyFill="1" applyBorder="1" applyAlignment="1" applyProtection="1">
      <alignment horizontal="center" vertical="center"/>
      <protection hidden="1"/>
    </xf>
    <xf numFmtId="43" fontId="44" fillId="6" borderId="98" xfId="51" applyNumberFormat="1" applyFont="1" applyFill="1" applyBorder="1" applyAlignment="1">
      <alignment vertical="center"/>
    </xf>
    <xf numFmtId="0" fontId="44" fillId="8" borderId="98" xfId="51" applyFont="1" applyFill="1" applyBorder="1" applyAlignment="1">
      <alignment horizontal="center" vertical="center"/>
    </xf>
    <xf numFmtId="43" fontId="44" fillId="6" borderId="98" xfId="51" applyNumberFormat="1" applyFont="1" applyFill="1" applyBorder="1" applyAlignment="1">
      <alignment horizontal="center" vertical="center"/>
    </xf>
    <xf numFmtId="0" fontId="44" fillId="24" borderId="36" xfId="51" applyFont="1" applyFill="1" applyBorder="1" applyAlignment="1">
      <alignment horizontal="center" vertical="center"/>
    </xf>
    <xf numFmtId="0" fontId="44" fillId="24" borderId="37" xfId="51" applyFont="1" applyFill="1" applyBorder="1" applyAlignment="1">
      <alignment horizontal="center"/>
    </xf>
    <xf numFmtId="0" fontId="44" fillId="24" borderId="37" xfId="51" applyFont="1" applyFill="1" applyBorder="1" applyAlignment="1">
      <alignment horizontal="center" vertical="center"/>
    </xf>
    <xf numFmtId="0" fontId="42" fillId="0" borderId="129" xfId="51" applyFont="1" applyBorder="1" applyAlignment="1">
      <alignment horizontal="center" vertical="center"/>
    </xf>
    <xf numFmtId="0" fontId="42" fillId="0" borderId="130" xfId="51" applyFont="1" applyBorder="1" applyAlignment="1">
      <alignment horizontal="center" vertical="center"/>
    </xf>
    <xf numFmtId="0" fontId="42" fillId="0" borderId="131" xfId="51" applyFont="1" applyBorder="1" applyAlignment="1">
      <alignment horizontal="center" vertical="center"/>
    </xf>
    <xf numFmtId="0" fontId="42" fillId="0" borderId="132" xfId="51" applyFont="1" applyBorder="1" applyAlignment="1">
      <alignment horizontal="center" vertical="center"/>
    </xf>
    <xf numFmtId="0" fontId="42" fillId="0" borderId="133" xfId="51" applyFont="1" applyBorder="1" applyAlignment="1">
      <alignment horizontal="center" vertical="center"/>
    </xf>
    <xf numFmtId="0" fontId="42" fillId="0" borderId="134" xfId="51" applyFont="1" applyBorder="1" applyAlignment="1">
      <alignment horizontal="center" vertical="center"/>
    </xf>
    <xf numFmtId="0" fontId="151" fillId="25" borderId="68" xfId="51" applyFont="1" applyFill="1" applyBorder="1" applyAlignment="1">
      <alignment horizontal="center" vertical="center"/>
    </xf>
    <xf numFmtId="43" fontId="90" fillId="8" borderId="70" xfId="77" applyFont="1" applyFill="1" applyBorder="1" applyAlignment="1">
      <alignment vertical="center"/>
    </xf>
    <xf numFmtId="0" fontId="42" fillId="0" borderId="135" xfId="51" applyFont="1" applyBorder="1" applyAlignment="1">
      <alignment horizontal="center" vertical="center"/>
    </xf>
    <xf numFmtId="0" fontId="42" fillId="0" borderId="136" xfId="51" applyFont="1" applyBorder="1" applyAlignment="1">
      <alignment horizontal="center" vertical="center"/>
    </xf>
    <xf numFmtId="0" fontId="151" fillId="25" borderId="79" xfId="51" applyFont="1" applyFill="1" applyBorder="1" applyAlignment="1">
      <alignment horizontal="center" vertical="center"/>
    </xf>
    <xf numFmtId="43" fontId="90" fillId="8" borderId="81" xfId="77" applyFont="1" applyFill="1" applyBorder="1" applyAlignment="1">
      <alignment vertical="center"/>
    </xf>
    <xf numFmtId="0" fontId="42" fillId="0" borderId="72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42" fillId="0" borderId="75" xfId="0" applyFont="1" applyBorder="1" applyAlignment="1">
      <alignment horizontal="center"/>
    </xf>
    <xf numFmtId="0" fontId="42" fillId="0" borderId="76" xfId="0" applyFont="1" applyBorder="1" applyAlignment="1">
      <alignment horizontal="center"/>
    </xf>
    <xf numFmtId="0" fontId="42" fillId="0" borderId="75" xfId="51" applyFont="1" applyBorder="1" applyAlignment="1">
      <alignment horizontal="center" vertical="center"/>
    </xf>
    <xf numFmtId="0" fontId="42" fillId="0" borderId="76" xfId="51" applyFont="1" applyBorder="1" applyAlignment="1">
      <alignment horizontal="center" vertical="center"/>
    </xf>
    <xf numFmtId="0" fontId="42" fillId="0" borderId="79" xfId="51" applyFont="1" applyBorder="1" applyAlignment="1">
      <alignment horizontal="center" vertical="center"/>
    </xf>
    <xf numFmtId="0" fontId="42" fillId="0" borderId="81" xfId="51" applyFont="1" applyBorder="1" applyAlignment="1">
      <alignment horizontal="center" vertical="center"/>
    </xf>
    <xf numFmtId="0" fontId="106" fillId="8" borderId="68" xfId="0" applyFont="1" applyFill="1" applyBorder="1" applyAlignment="1">
      <alignment horizontal="center"/>
    </xf>
    <xf numFmtId="43" fontId="90" fillId="8" borderId="70" xfId="77" applyFont="1" applyFill="1" applyBorder="1" applyAlignment="1">
      <alignment horizontal="center" vertical="center"/>
    </xf>
    <xf numFmtId="2" fontId="42" fillId="0" borderId="76" xfId="51" applyNumberFormat="1" applyFont="1" applyBorder="1" applyAlignment="1">
      <alignment horizontal="center" vertical="center"/>
    </xf>
    <xf numFmtId="0" fontId="90" fillId="8" borderId="50" xfId="51" applyFont="1" applyFill="1" applyBorder="1" applyAlignment="1">
      <alignment horizontal="center" vertical="center"/>
    </xf>
    <xf numFmtId="43" fontId="90" fillId="8" borderId="52" xfId="77" applyFont="1" applyFill="1" applyBorder="1" applyAlignment="1">
      <alignment vertical="center"/>
    </xf>
    <xf numFmtId="0" fontId="42" fillId="0" borderId="72" xfId="51" applyFont="1" applyBorder="1" applyAlignment="1">
      <alignment horizontal="center" vertical="center"/>
    </xf>
    <xf numFmtId="0" fontId="42" fillId="0" borderId="6" xfId="51" applyFont="1" applyBorder="1" applyAlignment="1">
      <alignment horizontal="center" vertical="center"/>
    </xf>
    <xf numFmtId="0" fontId="90" fillId="8" borderId="68" xfId="51" applyFont="1" applyFill="1" applyBorder="1" applyAlignment="1">
      <alignment horizontal="center" vertical="center"/>
    </xf>
    <xf numFmtId="0" fontId="90" fillId="8" borderId="70" xfId="77" applyNumberFormat="1" applyFont="1" applyFill="1" applyBorder="1" applyAlignment="1">
      <alignment horizontal="center" vertical="center"/>
    </xf>
    <xf numFmtId="0" fontId="151" fillId="25" borderId="50" xfId="51" applyFont="1" applyFill="1" applyBorder="1" applyAlignment="1">
      <alignment horizontal="center" vertical="center"/>
    </xf>
    <xf numFmtId="0" fontId="90" fillId="8" borderId="52" xfId="77" applyNumberFormat="1" applyFont="1" applyFill="1" applyBorder="1" applyAlignment="1">
      <alignment horizontal="center" vertical="center"/>
    </xf>
    <xf numFmtId="2" fontId="42" fillId="0" borderId="6" xfId="51" applyNumberFormat="1" applyFont="1" applyBorder="1" applyAlignment="1">
      <alignment horizontal="center" vertical="center"/>
    </xf>
    <xf numFmtId="222" fontId="75" fillId="6" borderId="19" xfId="51" applyNumberFormat="1" applyFont="1" applyFill="1" applyBorder="1" applyAlignment="1">
      <alignment vertical="center"/>
    </xf>
    <xf numFmtId="0" fontId="186" fillId="24" borderId="92" xfId="51" applyFont="1" applyFill="1" applyBorder="1" applyAlignment="1">
      <alignment horizontal="center" vertical="center"/>
    </xf>
    <xf numFmtId="2" fontId="42" fillId="0" borderId="89" xfId="51" applyNumberFormat="1" applyFont="1" applyBorder="1" applyAlignment="1">
      <alignment horizontal="center" vertical="center"/>
    </xf>
    <xf numFmtId="0" fontId="156" fillId="24" borderId="6" xfId="51" applyFont="1" applyFill="1" applyBorder="1" applyAlignment="1">
      <alignment vertical="center"/>
    </xf>
    <xf numFmtId="0" fontId="186" fillId="24" borderId="18" xfId="51" applyFont="1" applyFill="1" applyBorder="1" applyAlignment="1">
      <alignment horizontal="center" vertical="center"/>
    </xf>
    <xf numFmtId="0" fontId="156" fillId="24" borderId="52" xfId="51" applyFont="1" applyFill="1" applyBorder="1" applyAlignment="1">
      <alignment vertical="center"/>
    </xf>
    <xf numFmtId="0" fontId="186" fillId="24" borderId="32" xfId="51" applyFont="1" applyFill="1" applyBorder="1" applyAlignment="1">
      <alignment horizontal="center" vertical="center"/>
    </xf>
    <xf numFmtId="0" fontId="49" fillId="24" borderId="26" xfId="51" applyFont="1" applyFill="1" applyBorder="1" applyAlignment="1">
      <alignment vertical="center"/>
    </xf>
    <xf numFmtId="0" fontId="42" fillId="24" borderId="89" xfId="51" applyFont="1" applyFill="1" applyBorder="1"/>
    <xf numFmtId="0" fontId="49" fillId="24" borderId="32" xfId="51" applyFont="1" applyFill="1" applyBorder="1" applyAlignment="1">
      <alignment vertical="center"/>
    </xf>
    <xf numFmtId="189" fontId="42" fillId="0" borderId="88" xfId="51" applyNumberFormat="1" applyFont="1" applyBorder="1" applyAlignment="1">
      <alignment horizontal="center" vertical="center"/>
    </xf>
    <xf numFmtId="0" fontId="49" fillId="24" borderId="88" xfId="51" applyFont="1" applyFill="1" applyBorder="1" applyAlignment="1">
      <alignment vertical="center"/>
    </xf>
    <xf numFmtId="0" fontId="49" fillId="0" borderId="93" xfId="51" applyFont="1" applyBorder="1" applyAlignment="1">
      <alignment vertical="center"/>
    </xf>
    <xf numFmtId="0" fontId="49" fillId="0" borderId="138" xfId="51" applyFont="1" applyBorder="1" applyAlignment="1">
      <alignment vertical="center"/>
    </xf>
    <xf numFmtId="0" fontId="49" fillId="24" borderId="93" xfId="51" applyFont="1" applyFill="1" applyBorder="1" applyAlignment="1">
      <alignment vertical="center"/>
    </xf>
    <xf numFmtId="0" fontId="49" fillId="24" borderId="138" xfId="51" applyFont="1" applyFill="1" applyBorder="1" applyAlignment="1">
      <alignment vertical="center"/>
    </xf>
    <xf numFmtId="0" fontId="42" fillId="0" borderId="1" xfId="0" applyFont="1" applyBorder="1"/>
    <xf numFmtId="0" fontId="42" fillId="0" borderId="25" xfId="51" applyFont="1" applyBorder="1" applyAlignment="1">
      <alignment vertical="center"/>
    </xf>
    <xf numFmtId="0" fontId="42" fillId="0" borderId="138" xfId="51" applyFont="1" applyBorder="1" applyAlignment="1">
      <alignment horizontal="center" vertical="center"/>
    </xf>
    <xf numFmtId="0" fontId="42" fillId="0" borderId="82" xfId="51" applyFont="1" applyBorder="1" applyAlignment="1">
      <alignment vertical="center"/>
    </xf>
    <xf numFmtId="0" fontId="42" fillId="0" borderId="96" xfId="51" applyFont="1" applyBorder="1" applyAlignment="1">
      <alignment horizontal="center" vertical="center"/>
    </xf>
    <xf numFmtId="0" fontId="90" fillId="8" borderId="72" xfId="51" applyFont="1" applyFill="1" applyBorder="1" applyAlignment="1">
      <alignment horizontal="center" vertical="center"/>
    </xf>
    <xf numFmtId="43" fontId="90" fillId="8" borderId="6" xfId="77" applyFont="1" applyFill="1" applyBorder="1" applyAlignment="1">
      <alignment horizontal="center" vertical="center"/>
    </xf>
    <xf numFmtId="0" fontId="147" fillId="25" borderId="79" xfId="51" applyFont="1" applyFill="1" applyBorder="1" applyAlignment="1">
      <alignment horizontal="center" vertical="center"/>
    </xf>
    <xf numFmtId="43" fontId="90" fillId="8" borderId="81" xfId="77" applyFont="1" applyFill="1" applyBorder="1" applyAlignment="1">
      <alignment horizontal="center" vertical="center"/>
    </xf>
    <xf numFmtId="0" fontId="42" fillId="0" borderId="141" xfId="51" applyFont="1" applyFill="1" applyBorder="1" applyAlignment="1">
      <alignment horizontal="center"/>
    </xf>
    <xf numFmtId="0" fontId="42" fillId="0" borderId="143" xfId="51" applyFont="1" applyFill="1" applyBorder="1" applyAlignment="1">
      <alignment horizontal="center"/>
    </xf>
    <xf numFmtId="0" fontId="42" fillId="0" borderId="145" xfId="0" applyFont="1" applyBorder="1" applyAlignment="1">
      <alignment horizontal="center"/>
    </xf>
    <xf numFmtId="0" fontId="193" fillId="25" borderId="50" xfId="0" applyFont="1" applyFill="1" applyBorder="1" applyAlignment="1">
      <alignment horizontal="center"/>
    </xf>
    <xf numFmtId="227" fontId="42" fillId="0" borderId="98" xfId="51" applyNumberFormat="1" applyFont="1" applyBorder="1" applyAlignment="1">
      <alignment horizontal="center" vertical="center"/>
    </xf>
    <xf numFmtId="227" fontId="42" fillId="0" borderId="0" xfId="51" applyNumberFormat="1" applyFont="1" applyBorder="1" applyAlignment="1">
      <alignment horizontal="center" vertical="center"/>
    </xf>
    <xf numFmtId="0" fontId="42" fillId="0" borderId="72" xfId="0" applyFont="1" applyFill="1" applyBorder="1" applyAlignment="1" applyProtection="1">
      <alignment horizontal="center"/>
    </xf>
    <xf numFmtId="3" fontId="42" fillId="0" borderId="75" xfId="55" applyNumberFormat="1" applyFont="1" applyFill="1" applyBorder="1" applyAlignment="1" applyProtection="1">
      <alignment horizontal="center"/>
    </xf>
    <xf numFmtId="0" fontId="42" fillId="0" borderId="138" xfId="51" applyFont="1" applyBorder="1" applyAlignment="1">
      <alignment vertical="center"/>
    </xf>
    <xf numFmtId="0" fontId="42" fillId="0" borderId="75" xfId="0" applyFont="1" applyFill="1" applyBorder="1" applyAlignment="1" applyProtection="1">
      <alignment horizontal="center"/>
    </xf>
    <xf numFmtId="0" fontId="42" fillId="0" borderId="138" xfId="51" applyFont="1" applyFill="1" applyBorder="1" applyAlignment="1" applyProtection="1">
      <alignment horizontal="center" vertical="center"/>
    </xf>
    <xf numFmtId="0" fontId="42" fillId="0" borderId="77" xfId="0" applyFont="1" applyFill="1" applyBorder="1" applyAlignment="1" applyProtection="1">
      <alignment horizontal="center"/>
    </xf>
    <xf numFmtId="0" fontId="42" fillId="0" borderId="94" xfId="51" applyFont="1" applyBorder="1" applyAlignment="1">
      <alignment vertical="center"/>
    </xf>
    <xf numFmtId="0" fontId="42" fillId="0" borderId="138" xfId="0" applyFont="1" applyBorder="1"/>
    <xf numFmtId="0" fontId="42" fillId="0" borderId="50" xfId="0" applyFont="1" applyBorder="1" applyAlignment="1">
      <alignment horizontal="center"/>
    </xf>
    <xf numFmtId="0" fontId="42" fillId="0" borderId="140" xfId="0" applyFont="1" applyBorder="1"/>
    <xf numFmtId="43" fontId="90" fillId="8" borderId="140" xfId="77" applyFont="1" applyFill="1" applyBorder="1" applyAlignment="1">
      <alignment vertical="center"/>
    </xf>
    <xf numFmtId="0" fontId="75" fillId="8" borderId="32" xfId="51" applyFont="1" applyFill="1" applyBorder="1" applyAlignment="1">
      <alignment vertical="center"/>
    </xf>
    <xf numFmtId="0" fontId="75" fillId="8" borderId="33" xfId="51" applyFont="1" applyFill="1" applyBorder="1" applyAlignment="1">
      <alignment vertical="center"/>
    </xf>
    <xf numFmtId="0" fontId="49" fillId="0" borderId="71" xfId="51" applyFont="1" applyBorder="1" applyAlignment="1">
      <alignment horizontal="center" vertical="center"/>
    </xf>
    <xf numFmtId="0" fontId="49" fillId="0" borderId="74" xfId="51" applyFont="1" applyBorder="1" applyAlignment="1">
      <alignment horizontal="center" vertical="center"/>
    </xf>
    <xf numFmtId="0" fontId="49" fillId="0" borderId="78" xfId="51" applyFont="1" applyBorder="1" applyAlignment="1">
      <alignment horizontal="center" vertical="center"/>
    </xf>
    <xf numFmtId="0" fontId="42" fillId="0" borderId="39" xfId="0" applyFont="1" applyFill="1" applyBorder="1" applyAlignment="1" applyProtection="1">
      <alignment vertical="center"/>
    </xf>
    <xf numFmtId="0" fontId="49" fillId="0" borderId="28" xfId="51" applyFont="1" applyFill="1" applyBorder="1" applyAlignment="1">
      <alignment vertical="center"/>
    </xf>
    <xf numFmtId="0" fontId="49" fillId="0" borderId="43" xfId="51" applyFont="1" applyFill="1" applyBorder="1" applyAlignment="1">
      <alignment vertical="center"/>
    </xf>
    <xf numFmtId="0" fontId="42" fillId="0" borderId="137" xfId="0" applyFont="1" applyFill="1" applyBorder="1" applyAlignment="1" applyProtection="1">
      <alignment vertical="center"/>
    </xf>
    <xf numFmtId="0" fontId="49" fillId="0" borderId="24" xfId="51" applyFont="1" applyFill="1" applyBorder="1" applyAlignment="1">
      <alignment vertical="center"/>
    </xf>
    <xf numFmtId="0" fontId="49" fillId="0" borderId="139" xfId="51" applyFont="1" applyFill="1" applyBorder="1" applyAlignment="1">
      <alignment vertical="center"/>
    </xf>
    <xf numFmtId="0" fontId="42" fillId="0" borderId="83" xfId="0" applyFont="1" applyFill="1" applyBorder="1" applyAlignment="1" applyProtection="1">
      <alignment vertical="center"/>
    </xf>
    <xf numFmtId="0" fontId="49" fillId="0" borderId="95" xfId="51" applyFont="1" applyFill="1" applyBorder="1" applyAlignment="1">
      <alignment vertical="center"/>
    </xf>
    <xf numFmtId="0" fontId="49" fillId="0" borderId="96" xfId="51" applyFont="1" applyFill="1" applyBorder="1" applyAlignment="1">
      <alignment vertical="center"/>
    </xf>
    <xf numFmtId="0" fontId="42" fillId="25" borderId="98" xfId="0" applyFont="1" applyFill="1" applyBorder="1" applyAlignment="1" applyProtection="1">
      <alignment horizontal="center" vertical="center"/>
    </xf>
    <xf numFmtId="0" fontId="42" fillId="0" borderId="85" xfId="0" applyFont="1" applyFill="1" applyBorder="1" applyAlignment="1" applyProtection="1">
      <alignment horizontal="center"/>
    </xf>
    <xf numFmtId="0" fontId="42" fillId="0" borderId="91" xfId="0" applyFont="1" applyFill="1" applyBorder="1" applyProtection="1"/>
    <xf numFmtId="0" fontId="42" fillId="0" borderId="92" xfId="51" applyFont="1" applyBorder="1" applyAlignment="1">
      <alignment vertical="center"/>
    </xf>
    <xf numFmtId="0" fontId="49" fillId="0" borderId="92" xfId="51" applyFont="1" applyBorder="1" applyAlignment="1">
      <alignment vertical="center"/>
    </xf>
    <xf numFmtId="0" fontId="42" fillId="0" borderId="79" xfId="0" applyFont="1" applyBorder="1" applyAlignment="1">
      <alignment horizontal="center"/>
    </xf>
    <xf numFmtId="43" fontId="90" fillId="8" borderId="84" xfId="77" applyFont="1" applyFill="1" applyBorder="1" applyAlignment="1">
      <alignment vertical="center"/>
    </xf>
    <xf numFmtId="0" fontId="106" fillId="8" borderId="2" xfId="51" applyFont="1" applyFill="1" applyBorder="1" applyAlignment="1">
      <alignment vertical="center"/>
    </xf>
    <xf numFmtId="0" fontId="107" fillId="8" borderId="2" xfId="51" applyFont="1" applyFill="1" applyBorder="1" applyAlignment="1">
      <alignment vertical="center"/>
    </xf>
    <xf numFmtId="0" fontId="107" fillId="8" borderId="35" xfId="51" applyFont="1" applyFill="1" applyBorder="1" applyAlignment="1">
      <alignment vertical="center"/>
    </xf>
    <xf numFmtId="0" fontId="42" fillId="0" borderId="19" xfId="0" applyFont="1" applyFill="1" applyBorder="1" applyAlignment="1" applyProtection="1">
      <alignment horizontal="center" vertical="center"/>
    </xf>
    <xf numFmtId="0" fontId="42" fillId="0" borderId="5" xfId="0" applyFont="1" applyFill="1" applyBorder="1" applyAlignment="1" applyProtection="1">
      <alignment horizontal="center" vertical="center"/>
    </xf>
    <xf numFmtId="0" fontId="42" fillId="0" borderId="10" xfId="0" applyFont="1" applyFill="1" applyBorder="1" applyAlignment="1" applyProtection="1">
      <alignment horizontal="center" vertical="center"/>
    </xf>
    <xf numFmtId="0" fontId="42" fillId="0" borderId="22" xfId="0" applyFont="1" applyFill="1" applyBorder="1" applyAlignment="1" applyProtection="1">
      <alignment vertical="center"/>
    </xf>
    <xf numFmtId="0" fontId="42" fillId="0" borderId="24" xfId="0" applyFont="1" applyFill="1" applyBorder="1" applyAlignment="1" applyProtection="1">
      <alignment vertical="center"/>
    </xf>
    <xf numFmtId="0" fontId="42" fillId="0" borderId="20" xfId="0" applyFont="1" applyFill="1" applyBorder="1" applyAlignment="1" applyProtection="1">
      <alignment vertical="center"/>
    </xf>
    <xf numFmtId="0" fontId="42" fillId="0" borderId="21" xfId="0" applyFont="1" applyFill="1" applyBorder="1" applyAlignment="1" applyProtection="1">
      <alignment vertical="center"/>
    </xf>
    <xf numFmtId="0" fontId="42" fillId="0" borderId="23" xfId="0" applyFont="1" applyFill="1" applyBorder="1" applyAlignment="1" applyProtection="1">
      <alignment vertical="center"/>
    </xf>
    <xf numFmtId="0" fontId="42" fillId="0" borderId="25" xfId="0" applyFont="1" applyFill="1" applyBorder="1" applyAlignment="1" applyProtection="1">
      <alignment vertical="center"/>
    </xf>
    <xf numFmtId="0" fontId="42" fillId="0" borderId="18" xfId="0" applyFont="1" applyFill="1" applyBorder="1" applyAlignment="1" applyProtection="1">
      <alignment vertical="center"/>
    </xf>
    <xf numFmtId="0" fontId="42" fillId="0" borderId="26" xfId="0" applyFont="1" applyFill="1" applyBorder="1" applyAlignment="1" applyProtection="1">
      <alignment vertical="center"/>
    </xf>
    <xf numFmtId="0" fontId="42" fillId="0" borderId="5" xfId="0" applyFont="1" applyFill="1" applyBorder="1" applyAlignment="1" applyProtection="1">
      <alignment vertical="center"/>
    </xf>
    <xf numFmtId="0" fontId="42" fillId="0" borderId="10" xfId="0" applyFont="1" applyFill="1" applyBorder="1" applyAlignment="1" applyProtection="1">
      <alignment vertical="center"/>
    </xf>
    <xf numFmtId="39" fontId="42" fillId="33" borderId="22" xfId="0" applyNumberFormat="1" applyFont="1" applyFill="1" applyBorder="1" applyAlignment="1" applyProtection="1">
      <alignment horizontal="left" vertical="center"/>
    </xf>
    <xf numFmtId="39" fontId="42" fillId="33" borderId="21" xfId="0" applyNumberFormat="1" applyFont="1" applyFill="1" applyBorder="1" applyAlignment="1" applyProtection="1">
      <alignment horizontal="left" vertical="center"/>
    </xf>
    <xf numFmtId="39" fontId="42" fillId="33" borderId="25" xfId="0" applyNumberFormat="1" applyFont="1" applyFill="1" applyBorder="1" applyAlignment="1" applyProtection="1">
      <alignment horizontal="left" vertical="center"/>
    </xf>
    <xf numFmtId="198" fontId="42" fillId="0" borderId="5" xfId="24" applyNumberFormat="1" applyFont="1" applyBorder="1" applyAlignment="1">
      <alignment vertical="center"/>
    </xf>
    <xf numFmtId="198" fontId="42" fillId="0" borderId="10" xfId="24" applyNumberFormat="1" applyFont="1" applyBorder="1" applyAlignment="1">
      <alignment vertical="center"/>
    </xf>
    <xf numFmtId="0" fontId="42" fillId="0" borderId="41" xfId="51" applyFont="1" applyBorder="1" applyAlignment="1">
      <alignment horizontal="center" vertical="center"/>
    </xf>
    <xf numFmtId="0" fontId="49" fillId="0" borderId="19" xfId="51" applyFont="1" applyBorder="1" applyAlignment="1">
      <alignment vertical="center"/>
    </xf>
    <xf numFmtId="0" fontId="49" fillId="0" borderId="5" xfId="51" applyFont="1" applyBorder="1" applyAlignment="1">
      <alignment vertical="center"/>
    </xf>
    <xf numFmtId="0" fontId="49" fillId="0" borderId="10" xfId="51" applyFont="1" applyBorder="1" applyAlignment="1">
      <alignment vertical="center"/>
    </xf>
    <xf numFmtId="0" fontId="75" fillId="42" borderId="4" xfId="51" applyFont="1" applyFill="1" applyBorder="1" applyAlignment="1">
      <alignment horizontal="center" vertical="center"/>
    </xf>
    <xf numFmtId="0" fontId="49" fillId="0" borderId="4" xfId="51" applyFont="1" applyBorder="1" applyAlignment="1">
      <alignment horizontal="center" vertical="center"/>
    </xf>
    <xf numFmtId="0" fontId="42" fillId="0" borderId="4" xfId="0" applyFont="1" applyBorder="1" applyAlignment="1">
      <alignment horizontal="center"/>
    </xf>
    <xf numFmtId="0" fontId="148" fillId="0" borderId="65" xfId="0" applyFont="1" applyFill="1" applyBorder="1" applyAlignment="1" applyProtection="1">
      <alignment vertical="center"/>
    </xf>
    <xf numFmtId="0" fontId="148" fillId="0" borderId="57" xfId="0" applyFont="1" applyFill="1" applyBorder="1" applyAlignment="1" applyProtection="1">
      <alignment vertical="center"/>
    </xf>
    <xf numFmtId="0" fontId="148" fillId="0" borderId="58" xfId="0" applyFont="1" applyFill="1" applyBorder="1" applyAlignment="1" applyProtection="1">
      <alignment vertical="center"/>
    </xf>
    <xf numFmtId="0" fontId="108" fillId="24" borderId="4" xfId="0" applyFont="1" applyFill="1" applyBorder="1" applyAlignment="1">
      <alignment horizontal="center" vertical="center"/>
    </xf>
    <xf numFmtId="0" fontId="34" fillId="24" borderId="4" xfId="0" applyFont="1" applyFill="1" applyBorder="1" applyAlignment="1">
      <alignment horizontal="center" vertical="center"/>
    </xf>
    <xf numFmtId="2" fontId="35" fillId="33" borderId="60" xfId="51" applyNumberFormat="1" applyFont="1" applyFill="1" applyBorder="1" applyAlignment="1">
      <alignment vertical="center"/>
    </xf>
    <xf numFmtId="0" fontId="42" fillId="25" borderId="1" xfId="0" applyFont="1" applyFill="1" applyBorder="1" applyAlignment="1">
      <alignment horizontal="center"/>
    </xf>
    <xf numFmtId="2" fontId="49" fillId="0" borderId="1" xfId="51" applyNumberFormat="1" applyFont="1" applyBorder="1" applyAlignment="1">
      <alignment horizontal="center" vertical="center"/>
    </xf>
    <xf numFmtId="0" fontId="152" fillId="25" borderId="71" xfId="51" applyFont="1" applyFill="1" applyBorder="1" applyAlignment="1">
      <alignment horizontal="center" vertical="center"/>
    </xf>
    <xf numFmtId="189" fontId="152" fillId="25" borderId="38" xfId="51" applyNumberFormat="1" applyFont="1" applyFill="1" applyBorder="1" applyAlignment="1">
      <alignment horizontal="center" vertical="center"/>
    </xf>
    <xf numFmtId="198" fontId="42" fillId="0" borderId="20" xfId="24" applyNumberFormat="1" applyFont="1" applyBorder="1" applyAlignment="1">
      <alignment vertical="center"/>
    </xf>
    <xf numFmtId="0" fontId="151" fillId="25" borderId="98" xfId="0" applyFont="1" applyFill="1" applyBorder="1" applyAlignment="1" applyProtection="1">
      <alignment horizontal="center" vertical="center"/>
    </xf>
    <xf numFmtId="0" fontId="34" fillId="0" borderId="0" xfId="51" applyFont="1"/>
    <xf numFmtId="0" fontId="42" fillId="0" borderId="65" xfId="51" applyFont="1" applyFill="1" applyBorder="1" applyAlignment="1"/>
    <xf numFmtId="0" fontId="42" fillId="0" borderId="58" xfId="51" applyFont="1" applyFill="1" applyBorder="1" applyAlignment="1"/>
    <xf numFmtId="0" fontId="42" fillId="0" borderId="66" xfId="51" applyFont="1" applyFill="1" applyBorder="1" applyAlignment="1"/>
    <xf numFmtId="0" fontId="42" fillId="0" borderId="60" xfId="51" applyFont="1" applyFill="1" applyBorder="1" applyAlignment="1"/>
    <xf numFmtId="0" fontId="42" fillId="0" borderId="67" xfId="0" applyFont="1" applyBorder="1" applyAlignment="1"/>
    <xf numFmtId="0" fontId="42" fillId="0" borderId="63" xfId="0" applyFont="1" applyBorder="1" applyAlignment="1"/>
    <xf numFmtId="0" fontId="0" fillId="0" borderId="1" xfId="0" applyBorder="1" applyAlignment="1"/>
    <xf numFmtId="0" fontId="0" fillId="0" borderId="41" xfId="0" applyBorder="1" applyAlignment="1"/>
    <xf numFmtId="0" fontId="34" fillId="0" borderId="3" xfId="51" applyFont="1" applyBorder="1" applyAlignment="1">
      <alignment vertical="center"/>
    </xf>
    <xf numFmtId="0" fontId="75" fillId="0" borderId="41" xfId="51" applyFont="1" applyBorder="1" applyAlignment="1">
      <alignment vertical="center"/>
    </xf>
    <xf numFmtId="0" fontId="34" fillId="0" borderId="18" xfId="51" applyFont="1" applyBorder="1" applyAlignment="1">
      <alignment vertical="center"/>
    </xf>
    <xf numFmtId="0" fontId="75" fillId="0" borderId="26" xfId="51" applyFont="1" applyBorder="1" applyAlignment="1">
      <alignment vertical="center"/>
    </xf>
    <xf numFmtId="0" fontId="34" fillId="0" borderId="4" xfId="51" applyFont="1" applyBorder="1" applyAlignment="1">
      <alignment horizontal="center" vertical="center"/>
    </xf>
    <xf numFmtId="0" fontId="34" fillId="0" borderId="10" xfId="51" applyFont="1" applyBorder="1" applyAlignment="1">
      <alignment horizontal="center" vertical="center"/>
    </xf>
    <xf numFmtId="0" fontId="42" fillId="33" borderId="4" xfId="0" applyFont="1" applyFill="1" applyBorder="1" applyAlignment="1" applyProtection="1">
      <alignment horizontal="center" vertical="center"/>
    </xf>
    <xf numFmtId="2" fontId="44" fillId="26" borderId="4" xfId="0" applyNumberFormat="1" applyFont="1" applyFill="1" applyBorder="1" applyAlignment="1">
      <alignment horizontal="center"/>
    </xf>
    <xf numFmtId="2" fontId="44" fillId="26" borderId="4" xfId="51" applyNumberFormat="1" applyFont="1" applyFill="1" applyBorder="1" applyAlignment="1">
      <alignment horizontal="center"/>
    </xf>
    <xf numFmtId="0" fontId="44" fillId="26" borderId="19" xfId="51" applyFont="1" applyFill="1" applyBorder="1" applyAlignment="1">
      <alignment horizontal="center"/>
    </xf>
    <xf numFmtId="0" fontId="44" fillId="26" borderId="4" xfId="0" applyFont="1" applyFill="1" applyBorder="1" applyAlignment="1">
      <alignment horizontal="center"/>
    </xf>
    <xf numFmtId="0" fontId="44" fillId="26" borderId="5" xfId="51" applyFont="1" applyFill="1" applyBorder="1" applyAlignment="1">
      <alignment horizontal="center"/>
    </xf>
    <xf numFmtId="0" fontId="44" fillId="26" borderId="10" xfId="51" applyFont="1" applyFill="1" applyBorder="1" applyAlignment="1">
      <alignment horizontal="center"/>
    </xf>
    <xf numFmtId="0" fontId="44" fillId="26" borderId="5" xfId="0" applyFont="1" applyFill="1" applyBorder="1" applyAlignment="1">
      <alignment horizontal="center" vertical="center"/>
    </xf>
    <xf numFmtId="0" fontId="44" fillId="26" borderId="4" xfId="0" applyFont="1" applyFill="1" applyBorder="1" applyAlignment="1">
      <alignment horizontal="center" vertical="center"/>
    </xf>
    <xf numFmtId="0" fontId="75" fillId="26" borderId="4" xfId="51" applyFont="1" applyFill="1" applyBorder="1" applyAlignment="1">
      <alignment horizontal="center" vertical="center"/>
    </xf>
    <xf numFmtId="0" fontId="127" fillId="26" borderId="4" xfId="51" applyFont="1" applyFill="1" applyBorder="1" applyAlignment="1">
      <alignment horizontal="center" vertical="center"/>
    </xf>
    <xf numFmtId="0" fontId="147" fillId="44" borderId="4" xfId="51" applyFont="1" applyFill="1" applyBorder="1" applyAlignment="1">
      <alignment horizontal="center"/>
    </xf>
    <xf numFmtId="0" fontId="34" fillId="44" borderId="1" xfId="0" applyFont="1" applyFill="1" applyBorder="1" applyAlignment="1" applyProtection="1">
      <alignment vertical="center"/>
    </xf>
    <xf numFmtId="0" fontId="42" fillId="44" borderId="3" xfId="0" applyFont="1" applyFill="1" applyBorder="1" applyAlignment="1" applyProtection="1">
      <alignment vertical="center"/>
    </xf>
    <xf numFmtId="0" fontId="44" fillId="44" borderId="4" xfId="0" applyFont="1" applyFill="1" applyBorder="1" applyAlignment="1" applyProtection="1">
      <alignment horizontal="center" vertical="center"/>
    </xf>
    <xf numFmtId="0" fontId="42" fillId="0" borderId="4" xfId="0" applyFont="1" applyBorder="1" applyAlignment="1">
      <alignment horizontal="center"/>
    </xf>
    <xf numFmtId="0" fontId="147" fillId="25" borderId="0" xfId="51" applyFont="1" applyFill="1" applyAlignment="1">
      <alignment horizontal="center" vertical="center"/>
    </xf>
    <xf numFmtId="0" fontId="49" fillId="0" borderId="1" xfId="51" applyFont="1" applyBorder="1" applyAlignment="1">
      <alignment vertical="center"/>
    </xf>
    <xf numFmtId="198" fontId="42" fillId="0" borderId="10" xfId="24" applyNumberFormat="1" applyFont="1" applyFill="1" applyBorder="1" applyAlignment="1">
      <alignment horizontal="center" vertical="center"/>
    </xf>
    <xf numFmtId="198" fontId="42" fillId="0" borderId="4" xfId="24" applyNumberFormat="1" applyFont="1" applyFill="1" applyBorder="1" applyAlignment="1">
      <alignment horizontal="center" vertical="center"/>
    </xf>
    <xf numFmtId="0" fontId="49" fillId="0" borderId="21" xfId="51" applyFont="1" applyBorder="1" applyAlignment="1">
      <alignment vertical="center"/>
    </xf>
    <xf numFmtId="43" fontId="90" fillId="8" borderId="21" xfId="77" applyFont="1" applyFill="1" applyBorder="1" applyAlignment="1">
      <alignment vertical="center"/>
    </xf>
    <xf numFmtId="43" fontId="35" fillId="0" borderId="59" xfId="51" applyNumberFormat="1" applyFont="1" applyFill="1" applyBorder="1" applyAlignment="1" applyProtection="1">
      <alignment vertical="center"/>
    </xf>
    <xf numFmtId="43" fontId="90" fillId="8" borderId="0" xfId="77" applyFont="1" applyFill="1" applyBorder="1" applyAlignment="1">
      <alignment vertical="center"/>
    </xf>
    <xf numFmtId="0" fontId="53" fillId="0" borderId="0" xfId="0" applyFont="1"/>
    <xf numFmtId="0" fontId="40" fillId="37" borderId="4" xfId="0" applyFont="1" applyFill="1" applyBorder="1" applyAlignment="1">
      <alignment horizontal="center"/>
    </xf>
    <xf numFmtId="0" fontId="34" fillId="37" borderId="1" xfId="0" applyFont="1" applyFill="1" applyBorder="1"/>
    <xf numFmtId="0" fontId="35" fillId="37" borderId="41" xfId="51" applyFont="1" applyFill="1" applyBorder="1" applyAlignment="1">
      <alignment vertical="center"/>
    </xf>
    <xf numFmtId="0" fontId="34" fillId="37" borderId="25" xfId="0" applyFont="1" applyFill="1" applyBorder="1"/>
    <xf numFmtId="0" fontId="35" fillId="37" borderId="26" xfId="51" applyFont="1" applyFill="1" applyBorder="1" applyAlignment="1">
      <alignment vertical="center"/>
    </xf>
    <xf numFmtId="0" fontId="42" fillId="0" borderId="0" xfId="0" applyFont="1" applyAlignment="1">
      <alignment horizontal="center"/>
    </xf>
    <xf numFmtId="0" fontId="47" fillId="0" borderId="4" xfId="84" applyFont="1" applyBorder="1" applyAlignment="1">
      <alignment horizontal="center"/>
    </xf>
    <xf numFmtId="0" fontId="47" fillId="0" borderId="0" xfId="84" applyFont="1" applyFill="1" applyAlignment="1">
      <alignment horizontal="center"/>
    </xf>
    <xf numFmtId="0" fontId="42" fillId="0" borderId="0" xfId="0" applyFont="1" applyAlignment="1">
      <alignment horizontal="center"/>
    </xf>
    <xf numFmtId="1" fontId="35" fillId="0" borderId="32" xfId="54" quotePrefix="1" applyNumberFormat="1" applyFont="1" applyBorder="1" applyAlignment="1">
      <alignment horizontal="center"/>
    </xf>
    <xf numFmtId="39" fontId="42" fillId="9" borderId="68" xfId="54" applyFont="1" applyFill="1" applyBorder="1" applyAlignment="1">
      <alignment horizontal="center"/>
    </xf>
    <xf numFmtId="0" fontId="195" fillId="0" borderId="0" xfId="0" applyFont="1" applyAlignment="1">
      <alignment horizontal="left" vertical="center" wrapText="1" indent="2"/>
    </xf>
    <xf numFmtId="0" fontId="42" fillId="0" borderId="0" xfId="0" applyFont="1" applyAlignment="1">
      <alignment horizontal="center"/>
    </xf>
    <xf numFmtId="2" fontId="196" fillId="0" borderId="104" xfId="0" applyNumberFormat="1" applyFont="1" applyBorder="1" applyAlignment="1">
      <alignment horizontal="center" vertical="center" wrapText="1"/>
    </xf>
    <xf numFmtId="2" fontId="196" fillId="0" borderId="8" xfId="0" applyNumberFormat="1" applyFont="1" applyBorder="1" applyAlignment="1">
      <alignment horizontal="center" vertical="center" wrapText="1"/>
    </xf>
    <xf numFmtId="2" fontId="197" fillId="0" borderId="8" xfId="0" applyNumberFormat="1" applyFont="1" applyBorder="1" applyAlignment="1">
      <alignment horizontal="center" vertical="center" wrapText="1"/>
    </xf>
    <xf numFmtId="2" fontId="42" fillId="0" borderId="8" xfId="54" applyNumberFormat="1" applyFont="1" applyBorder="1" applyAlignment="1">
      <alignment horizontal="center"/>
    </xf>
    <xf numFmtId="2" fontId="198" fillId="0" borderId="8" xfId="0" applyNumberFormat="1" applyFont="1" applyBorder="1" applyAlignment="1">
      <alignment horizontal="center" vertical="center" wrapText="1"/>
    </xf>
    <xf numFmtId="2" fontId="199" fillId="0" borderId="8" xfId="0" applyNumberFormat="1" applyFont="1" applyBorder="1" applyAlignment="1">
      <alignment horizontal="center" vertical="center" wrapText="1"/>
    </xf>
    <xf numFmtId="2" fontId="200" fillId="0" borderId="8" xfId="0" applyNumberFormat="1" applyFont="1" applyBorder="1" applyAlignment="1">
      <alignment horizontal="center" vertical="center" wrapText="1"/>
    </xf>
    <xf numFmtId="2" fontId="199" fillId="0" borderId="111" xfId="0" applyNumberFormat="1" applyFont="1" applyBorder="1" applyAlignment="1">
      <alignment horizontal="center" vertical="center" wrapText="1"/>
    </xf>
    <xf numFmtId="39" fontId="42" fillId="31" borderId="69" xfId="54" applyNumberFormat="1" applyFont="1" applyFill="1" applyBorder="1" applyAlignment="1" applyProtection="1">
      <alignment horizontal="center"/>
    </xf>
    <xf numFmtId="2" fontId="42" fillId="0" borderId="8" xfId="54" applyNumberFormat="1" applyFont="1" applyBorder="1" applyAlignment="1" applyProtection="1">
      <alignment horizontal="center"/>
    </xf>
    <xf numFmtId="2" fontId="201" fillId="0" borderId="104" xfId="0" applyNumberFormat="1" applyFont="1" applyBorder="1" applyAlignment="1">
      <alignment horizontal="center" vertical="center" wrapText="1"/>
    </xf>
    <xf numFmtId="2" fontId="202" fillId="0" borderId="8" xfId="0" applyNumberFormat="1" applyFont="1" applyBorder="1" applyAlignment="1">
      <alignment horizontal="center" vertical="center" wrapText="1"/>
    </xf>
    <xf numFmtId="2" fontId="201" fillId="0" borderId="8" xfId="0" applyNumberFormat="1" applyFont="1" applyBorder="1" applyAlignment="1">
      <alignment horizontal="center" vertical="center" wrapText="1"/>
    </xf>
    <xf numFmtId="2" fontId="42" fillId="0" borderId="8" xfId="0" applyNumberFormat="1" applyFont="1" applyBorder="1" applyAlignment="1">
      <alignment horizontal="center" vertical="center" wrapText="1"/>
    </xf>
    <xf numFmtId="2" fontId="203" fillId="0" borderId="8" xfId="0" applyNumberFormat="1" applyFont="1" applyBorder="1" applyAlignment="1">
      <alignment horizontal="center" vertical="center" wrapText="1"/>
    </xf>
    <xf numFmtId="2" fontId="42" fillId="0" borderId="8" xfId="0" applyNumberFormat="1" applyFont="1" applyBorder="1" applyAlignment="1">
      <alignment horizontal="center"/>
    </xf>
    <xf numFmtId="0" fontId="49" fillId="0" borderId="0" xfId="0" applyFont="1" applyAlignment="1" applyProtection="1">
      <alignment vertical="center"/>
    </xf>
    <xf numFmtId="39" fontId="42" fillId="9" borderId="99" xfId="54" applyFont="1" applyFill="1" applyBorder="1" applyAlignment="1">
      <alignment horizontal="center"/>
    </xf>
    <xf numFmtId="39" fontId="42" fillId="0" borderId="116" xfId="54" applyFont="1" applyBorder="1" applyAlignment="1">
      <alignment horizontal="center"/>
    </xf>
    <xf numFmtId="39" fontId="42" fillId="0" borderId="12" xfId="54" applyFont="1" applyBorder="1" applyAlignment="1">
      <alignment horizontal="center"/>
    </xf>
    <xf numFmtId="39" fontId="42" fillId="0" borderId="118" xfId="54" applyFont="1" applyBorder="1" applyAlignment="1">
      <alignment horizontal="center"/>
    </xf>
    <xf numFmtId="39" fontId="42" fillId="31" borderId="69" xfId="54" applyNumberFormat="1" applyFont="1" applyFill="1" applyBorder="1" applyAlignment="1">
      <alignment horizontal="center"/>
    </xf>
    <xf numFmtId="39" fontId="42" fillId="0" borderId="0" xfId="54" applyFont="1" applyAlignment="1">
      <alignment horizontal="center"/>
    </xf>
    <xf numFmtId="39" fontId="42" fillId="0" borderId="17" xfId="54" applyNumberFormat="1" applyFont="1" applyBorder="1" applyAlignment="1" applyProtection="1">
      <alignment horizontal="center"/>
    </xf>
    <xf numFmtId="39" fontId="42" fillId="0" borderId="8" xfId="54" applyNumberFormat="1" applyFont="1" applyBorder="1" applyAlignment="1" applyProtection="1">
      <alignment horizontal="center"/>
    </xf>
    <xf numFmtId="39" fontId="42" fillId="0" borderId="111" xfId="54" applyNumberFormat="1" applyFont="1" applyBorder="1" applyAlignment="1" applyProtection="1">
      <alignment horizontal="center"/>
    </xf>
    <xf numFmtId="39" fontId="42" fillId="0" borderId="104" xfId="54" applyFont="1" applyFill="1" applyBorder="1" applyAlignment="1">
      <alignment horizontal="center"/>
    </xf>
    <xf numFmtId="39" fontId="42" fillId="0" borderId="8" xfId="54" applyFont="1" applyFill="1" applyBorder="1" applyAlignment="1">
      <alignment horizontal="center"/>
    </xf>
    <xf numFmtId="39" fontId="42" fillId="0" borderId="111" xfId="54" applyFont="1" applyFill="1" applyBorder="1" applyAlignment="1">
      <alignment horizontal="center"/>
    </xf>
    <xf numFmtId="0" fontId="94" fillId="0" borderId="0" xfId="51" applyFont="1" applyFill="1" applyBorder="1" applyAlignment="1" applyProtection="1">
      <alignment horizontal="center" vertical="center"/>
    </xf>
    <xf numFmtId="0" fontId="42" fillId="0" borderId="4" xfId="0" applyFont="1" applyBorder="1" applyAlignment="1">
      <alignment horizontal="center"/>
    </xf>
    <xf numFmtId="39" fontId="42" fillId="9" borderId="68" xfId="54" applyNumberFormat="1" applyFont="1" applyFill="1" applyBorder="1" applyAlignment="1">
      <alignment horizontal="center"/>
    </xf>
    <xf numFmtId="39" fontId="42" fillId="9" borderId="69" xfId="54" applyNumberFormat="1" applyFont="1" applyFill="1" applyBorder="1" applyAlignment="1">
      <alignment horizontal="center"/>
    </xf>
    <xf numFmtId="39" fontId="42" fillId="9" borderId="99" xfId="54" applyNumberFormat="1" applyFont="1" applyFill="1" applyBorder="1" applyAlignment="1">
      <alignment horizontal="center"/>
    </xf>
    <xf numFmtId="39" fontId="42" fillId="31" borderId="2" xfId="54" applyNumberFormat="1" applyFont="1" applyFill="1" applyBorder="1" applyAlignment="1">
      <alignment horizontal="center"/>
    </xf>
    <xf numFmtId="0" fontId="42" fillId="31" borderId="69" xfId="91" applyFont="1" applyFill="1" applyBorder="1" applyAlignment="1">
      <alignment horizontal="center"/>
    </xf>
    <xf numFmtId="0" fontId="201" fillId="0" borderId="0" xfId="0" applyFont="1" applyAlignment="1">
      <alignment horizontal="center"/>
    </xf>
    <xf numFmtId="39" fontId="42" fillId="0" borderId="104" xfId="54" applyNumberFormat="1" applyFont="1" applyBorder="1" applyAlignment="1" applyProtection="1">
      <alignment horizontal="center"/>
    </xf>
    <xf numFmtId="39" fontId="42" fillId="0" borderId="117" xfId="54" applyFont="1" applyBorder="1" applyAlignment="1">
      <alignment horizontal="center"/>
    </xf>
    <xf numFmtId="39" fontId="42" fillId="0" borderId="104" xfId="54" applyFont="1" applyBorder="1" applyAlignment="1">
      <alignment horizontal="center"/>
    </xf>
    <xf numFmtId="39" fontId="42" fillId="0" borderId="125" xfId="54" applyNumberFormat="1" applyFont="1" applyBorder="1" applyAlignment="1" applyProtection="1">
      <alignment horizontal="center"/>
    </xf>
    <xf numFmtId="39" fontId="42" fillId="0" borderId="104" xfId="54" applyNumberFormat="1" applyFont="1" applyFill="1" applyBorder="1" applyAlignment="1" applyProtection="1">
      <alignment horizontal="center"/>
    </xf>
    <xf numFmtId="39" fontId="42" fillId="0" borderId="107" xfId="54" applyFont="1" applyBorder="1" applyAlignment="1">
      <alignment horizontal="center"/>
    </xf>
    <xf numFmtId="39" fontId="42" fillId="0" borderId="8" xfId="54" applyFont="1" applyBorder="1" applyAlignment="1">
      <alignment horizontal="center"/>
    </xf>
    <xf numFmtId="39" fontId="42" fillId="0" borderId="126" xfId="54" applyNumberFormat="1" applyFont="1" applyBorder="1" applyAlignment="1" applyProtection="1">
      <alignment horizontal="center"/>
    </xf>
    <xf numFmtId="39" fontId="42" fillId="0" borderId="8" xfId="54" applyNumberFormat="1" applyFont="1" applyFill="1" applyBorder="1" applyAlignment="1" applyProtection="1">
      <alignment horizontal="center"/>
    </xf>
    <xf numFmtId="0" fontId="42" fillId="0" borderId="13" xfId="0" applyFont="1" applyBorder="1" applyAlignment="1">
      <alignment horizontal="center"/>
    </xf>
    <xf numFmtId="39" fontId="42" fillId="0" borderId="110" xfId="54" applyFont="1" applyBorder="1" applyAlignment="1">
      <alignment horizontal="center"/>
    </xf>
    <xf numFmtId="39" fontId="42" fillId="0" borderId="111" xfId="54" applyFont="1" applyBorder="1" applyAlignment="1">
      <alignment horizontal="center"/>
    </xf>
    <xf numFmtId="39" fontId="42" fillId="0" borderId="127" xfId="54" applyNumberFormat="1" applyFont="1" applyBorder="1" applyAlignment="1" applyProtection="1">
      <alignment horizontal="center"/>
    </xf>
    <xf numFmtId="39" fontId="42" fillId="0" borderId="113" xfId="54" applyNumberFormat="1" applyFont="1" applyFill="1" applyBorder="1" applyAlignment="1" applyProtection="1">
      <alignment horizontal="center"/>
    </xf>
    <xf numFmtId="39" fontId="42" fillId="0" borderId="17" xfId="54" applyFont="1" applyFill="1" applyBorder="1" applyAlignment="1">
      <alignment horizontal="center"/>
    </xf>
    <xf numFmtId="39" fontId="42" fillId="0" borderId="17" xfId="54" applyFont="1" applyBorder="1" applyAlignment="1">
      <alignment horizontal="center"/>
    </xf>
    <xf numFmtId="39" fontId="42" fillId="0" borderId="112" xfId="54" applyFont="1" applyBorder="1" applyAlignment="1">
      <alignment horizontal="center"/>
    </xf>
    <xf numFmtId="39" fontId="42" fillId="31" borderId="99" xfId="54" applyNumberFormat="1" applyFont="1" applyFill="1" applyBorder="1" applyAlignment="1">
      <alignment horizontal="center"/>
    </xf>
    <xf numFmtId="39" fontId="179" fillId="0" borderId="18" xfId="0" applyNumberFormat="1" applyFont="1" applyBorder="1" applyAlignment="1" applyProtection="1">
      <alignment horizontal="right" vertical="center"/>
    </xf>
    <xf numFmtId="2" fontId="54" fillId="0" borderId="5" xfId="54" applyNumberFormat="1" applyFont="1" applyFill="1" applyBorder="1" applyAlignment="1">
      <alignment horizontal="center"/>
    </xf>
    <xf numFmtId="2" fontId="54" fillId="0" borderId="5" xfId="0" applyNumberFormat="1" applyFont="1" applyBorder="1" applyAlignment="1">
      <alignment horizontal="center"/>
    </xf>
    <xf numFmtId="0" fontId="54" fillId="0" borderId="0" xfId="0" applyFont="1" applyAlignment="1">
      <alignment horizontal="center"/>
    </xf>
    <xf numFmtId="2" fontId="54" fillId="0" borderId="19" xfId="0" applyNumberFormat="1" applyFont="1" applyFill="1" applyBorder="1" applyAlignment="1">
      <alignment horizontal="center"/>
    </xf>
    <xf numFmtId="2" fontId="54" fillId="0" borderId="5" xfId="54" applyNumberFormat="1" applyFont="1" applyFill="1" applyBorder="1" applyAlignment="1" applyProtection="1">
      <alignment horizontal="center"/>
    </xf>
    <xf numFmtId="2" fontId="54" fillId="0" borderId="5" xfId="0" applyNumberFormat="1" applyFont="1" applyFill="1" applyBorder="1" applyAlignment="1">
      <alignment horizontal="center"/>
    </xf>
    <xf numFmtId="2" fontId="54" fillId="0" borderId="0" xfId="0" applyNumberFormat="1" applyFont="1" applyAlignment="1">
      <alignment horizontal="center"/>
    </xf>
    <xf numFmtId="2" fontId="108" fillId="0" borderId="4" xfId="0" applyNumberFormat="1" applyFont="1" applyBorder="1" applyAlignment="1">
      <alignment horizontal="center" vertical="center"/>
    </xf>
    <xf numFmtId="0" fontId="108" fillId="0" borderId="4" xfId="0" applyFont="1" applyBorder="1" applyAlignment="1">
      <alignment horizontal="center" vertical="center"/>
    </xf>
    <xf numFmtId="2" fontId="108" fillId="0" borderId="1" xfId="0" applyNumberFormat="1" applyFont="1" applyBorder="1" applyAlignment="1">
      <alignment horizontal="center" vertical="center"/>
    </xf>
    <xf numFmtId="0" fontId="108" fillId="0" borderId="19" xfId="0" applyFont="1" applyFill="1" applyBorder="1" applyAlignment="1">
      <alignment horizontal="center" vertical="center"/>
    </xf>
    <xf numFmtId="0" fontId="204" fillId="0" borderId="0" xfId="84" applyFont="1" applyProtection="1">
      <protection hidden="1"/>
    </xf>
    <xf numFmtId="0" fontId="49" fillId="0" borderId="0" xfId="51" applyFont="1" applyFill="1" applyAlignment="1">
      <alignment horizontal="center" vertical="center"/>
    </xf>
    <xf numFmtId="0" fontId="78" fillId="0" borderId="0" xfId="51" applyFont="1" applyFill="1" applyBorder="1" applyAlignment="1" applyProtection="1">
      <alignment horizontal="center" vertical="center"/>
    </xf>
    <xf numFmtId="0" fontId="49" fillId="0" borderId="0" xfId="51" applyFont="1" applyFill="1" applyBorder="1" applyAlignment="1" applyProtection="1">
      <alignment horizontal="right" vertical="center"/>
    </xf>
    <xf numFmtId="0" fontId="94" fillId="0" borderId="0" xfId="51" applyFont="1" applyFill="1" applyBorder="1" applyAlignment="1" applyProtection="1">
      <alignment vertical="center"/>
    </xf>
    <xf numFmtId="0" fontId="49" fillId="0" borderId="0" xfId="51" applyFont="1" applyFill="1" applyBorder="1" applyAlignment="1" applyProtection="1">
      <alignment horizontal="left" vertical="center"/>
    </xf>
    <xf numFmtId="188" fontId="49" fillId="0" borderId="0" xfId="0" applyNumberFormat="1" applyFont="1" applyAlignment="1" applyProtection="1">
      <alignment vertical="center"/>
    </xf>
    <xf numFmtId="201" fontId="49" fillId="0" borderId="0" xfId="24" applyNumberFormat="1" applyFont="1" applyFill="1" applyAlignment="1" applyProtection="1">
      <alignment vertical="center"/>
      <protection locked="0"/>
    </xf>
    <xf numFmtId="0" fontId="205" fillId="0" borderId="0" xfId="0" applyFont="1" applyAlignment="1">
      <alignment vertical="center"/>
    </xf>
    <xf numFmtId="223" fontId="42" fillId="29" borderId="4" xfId="0" applyNumberFormat="1" applyFont="1" applyFill="1" applyBorder="1" applyAlignment="1" applyProtection="1">
      <alignment horizontal="center"/>
    </xf>
    <xf numFmtId="0" fontId="42" fillId="0" borderId="4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0" xfId="51" applyFont="1" applyAlignment="1">
      <alignment horizontal="center"/>
    </xf>
    <xf numFmtId="4" fontId="42" fillId="0" borderId="0" xfId="55" applyFont="1" applyAlignment="1" applyProtection="1">
      <alignment horizontal="left" vertical="center"/>
    </xf>
    <xf numFmtId="0" fontId="42" fillId="0" borderId="4" xfId="0" applyFont="1" applyBorder="1" applyAlignment="1">
      <alignment horizontal="center"/>
    </xf>
    <xf numFmtId="43" fontId="47" fillId="0" borderId="0" xfId="51" applyNumberFormat="1" applyFont="1" applyAlignment="1">
      <alignment horizontal="center"/>
    </xf>
    <xf numFmtId="221" fontId="46" fillId="9" borderId="10" xfId="0" applyNumberFormat="1" applyFont="1" applyFill="1" applyBorder="1"/>
    <xf numFmtId="228" fontId="42" fillId="0" borderId="0" xfId="0" applyNumberFormat="1" applyFont="1"/>
    <xf numFmtId="0" fontId="42" fillId="0" borderId="4" xfId="0" applyFont="1" applyBorder="1" applyAlignment="1">
      <alignment horizontal="center"/>
    </xf>
    <xf numFmtId="203" fontId="42" fillId="0" borderId="0" xfId="0" applyNumberFormat="1" applyFont="1" applyProtection="1"/>
    <xf numFmtId="0" fontId="42" fillId="0" borderId="4" xfId="0" applyFont="1" applyBorder="1" applyAlignment="1">
      <alignment horizontal="center"/>
    </xf>
    <xf numFmtId="43" fontId="42" fillId="0" borderId="5" xfId="24" applyNumberFormat="1" applyFont="1" applyBorder="1"/>
    <xf numFmtId="0" fontId="122" fillId="0" borderId="0" xfId="0" applyFont="1" applyBorder="1" applyAlignment="1">
      <alignment horizontal="center"/>
    </xf>
    <xf numFmtId="203" fontId="161" fillId="41" borderId="0" xfId="0" applyNumberFormat="1" applyFont="1" applyFill="1" applyBorder="1" applyAlignment="1" applyProtection="1">
      <alignment horizontal="center"/>
    </xf>
    <xf numFmtId="189" fontId="161" fillId="41" borderId="0" xfId="0" applyNumberFormat="1" applyFont="1" applyFill="1" applyBorder="1" applyAlignment="1" applyProtection="1">
      <alignment horizontal="center"/>
    </xf>
    <xf numFmtId="0" fontId="49" fillId="0" borderId="0" xfId="0" applyFont="1" applyAlignment="1" applyProtection="1">
      <alignment vertical="center"/>
    </xf>
    <xf numFmtId="0" fontId="71" fillId="24" borderId="82" xfId="51" applyFont="1" applyFill="1" applyBorder="1" applyAlignment="1">
      <alignment horizontal="center" vertical="center"/>
    </xf>
    <xf numFmtId="2" fontId="42" fillId="0" borderId="25" xfId="51" applyNumberFormat="1" applyFont="1" applyBorder="1" applyAlignment="1">
      <alignment horizontal="center" vertical="center"/>
    </xf>
    <xf numFmtId="0" fontId="42" fillId="0" borderId="51" xfId="51" applyFont="1" applyBorder="1" applyAlignment="1">
      <alignment horizontal="center" vertical="center"/>
    </xf>
    <xf numFmtId="0" fontId="42" fillId="0" borderId="91" xfId="51" applyFont="1" applyBorder="1" applyAlignment="1">
      <alignment horizontal="center" vertical="center"/>
    </xf>
    <xf numFmtId="0" fontId="42" fillId="0" borderId="1" xfId="51" applyFont="1" applyBorder="1" applyAlignment="1">
      <alignment horizontal="center" vertical="center"/>
    </xf>
    <xf numFmtId="0" fontId="42" fillId="0" borderId="22" xfId="51" applyFont="1" applyBorder="1" applyAlignment="1">
      <alignment horizontal="center" vertical="center"/>
    </xf>
    <xf numFmtId="0" fontId="49" fillId="0" borderId="2" xfId="51" applyFont="1" applyBorder="1" applyAlignment="1">
      <alignment vertical="center"/>
    </xf>
    <xf numFmtId="0" fontId="66" fillId="24" borderId="50" xfId="51" applyFont="1" applyFill="1" applyBorder="1" applyAlignment="1">
      <alignment horizontal="center"/>
    </xf>
    <xf numFmtId="0" fontId="44" fillId="24" borderId="51" xfId="51" applyFont="1" applyFill="1" applyBorder="1" applyAlignment="1">
      <alignment horizontal="center" vertical="center"/>
    </xf>
    <xf numFmtId="43" fontId="44" fillId="24" borderId="51" xfId="77" applyFont="1" applyFill="1" applyBorder="1" applyAlignment="1">
      <alignment horizontal="center" vertical="center"/>
    </xf>
    <xf numFmtId="0" fontId="44" fillId="24" borderId="46" xfId="51" applyFont="1" applyFill="1" applyBorder="1" applyAlignment="1">
      <alignment horizontal="center" vertical="center"/>
    </xf>
    <xf numFmtId="0" fontId="71" fillId="24" borderId="50" xfId="51" applyFont="1" applyFill="1" applyBorder="1" applyAlignment="1">
      <alignment horizontal="center"/>
    </xf>
    <xf numFmtId="0" fontId="44" fillId="24" borderId="21" xfId="51" applyFont="1" applyFill="1" applyBorder="1" applyAlignment="1">
      <alignment horizontal="center" vertical="center"/>
    </xf>
    <xf numFmtId="10" fontId="0" fillId="6" borderId="0" xfId="94" applyNumberFormat="1" applyFont="1" applyFill="1"/>
    <xf numFmtId="10" fontId="0" fillId="0" borderId="0" xfId="94" applyNumberFormat="1" applyFont="1"/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6" borderId="4" xfId="0" applyFill="1" applyBorder="1" applyAlignment="1">
      <alignment horizontal="center"/>
    </xf>
    <xf numFmtId="43" fontId="0" fillId="0" borderId="4" xfId="24" applyFont="1" applyFill="1" applyBorder="1" applyAlignment="1">
      <alignment horizontal="center"/>
    </xf>
    <xf numFmtId="188" fontId="0" fillId="0" borderId="0" xfId="0" applyNumberFormat="1"/>
    <xf numFmtId="43" fontId="0" fillId="0" borderId="0" xfId="0" applyNumberFormat="1"/>
    <xf numFmtId="202" fontId="0" fillId="0" borderId="0" xfId="0" applyNumberFormat="1"/>
    <xf numFmtId="0" fontId="0" fillId="0" borderId="0" xfId="0" applyAlignment="1">
      <alignment horizontal="center"/>
    </xf>
    <xf numFmtId="0" fontId="210" fillId="45" borderId="1" xfId="0" applyFont="1" applyFill="1" applyBorder="1"/>
    <xf numFmtId="0" fontId="210" fillId="45" borderId="3" xfId="0" applyFont="1" applyFill="1" applyBorder="1" applyAlignment="1">
      <alignment horizontal="center"/>
    </xf>
    <xf numFmtId="188" fontId="210" fillId="45" borderId="41" xfId="0" applyNumberFormat="1" applyFont="1" applyFill="1" applyBorder="1"/>
    <xf numFmtId="0" fontId="35" fillId="0" borderId="0" xfId="92" applyFont="1"/>
    <xf numFmtId="4" fontId="35" fillId="0" borderId="0" xfId="92" applyNumberFormat="1" applyFont="1" applyBorder="1"/>
    <xf numFmtId="189" fontId="35" fillId="0" borderId="0" xfId="92" applyNumberFormat="1" applyFont="1"/>
    <xf numFmtId="199" fontId="35" fillId="0" borderId="0" xfId="92" applyNumberFormat="1" applyFont="1"/>
    <xf numFmtId="0" fontId="35" fillId="0" borderId="0" xfId="92" applyFont="1" applyAlignment="1">
      <alignment horizontal="center"/>
    </xf>
    <xf numFmtId="43" fontId="35" fillId="0" borderId="0" xfId="92" applyNumberFormat="1" applyFont="1"/>
    <xf numFmtId="0" fontId="42" fillId="0" borderId="0" xfId="86" applyFont="1"/>
    <xf numFmtId="189" fontId="35" fillId="0" borderId="0" xfId="92" applyNumberFormat="1" applyFont="1" applyAlignment="1">
      <alignment horizontal="left"/>
    </xf>
    <xf numFmtId="229" fontId="42" fillId="0" borderId="0" xfId="86" applyNumberFormat="1" applyFont="1" applyAlignment="1">
      <alignment horizontal="left"/>
    </xf>
    <xf numFmtId="43" fontId="35" fillId="0" borderId="0" xfId="95" applyNumberFormat="1" applyFont="1" applyFill="1" applyAlignment="1">
      <alignment horizontal="left"/>
    </xf>
    <xf numFmtId="0" fontId="34" fillId="0" borderId="5" xfId="92" applyFont="1" applyFill="1" applyBorder="1" applyAlignment="1">
      <alignment horizontal="center" vertical="center"/>
    </xf>
    <xf numFmtId="0" fontId="34" fillId="0" borderId="0" xfId="92" applyFont="1" applyFill="1" applyBorder="1" applyAlignment="1">
      <alignment vertical="center"/>
    </xf>
    <xf numFmtId="43" fontId="211" fillId="0" borderId="24" xfId="92" applyNumberFormat="1" applyFont="1" applyFill="1" applyBorder="1" applyAlignment="1">
      <alignment vertical="center"/>
    </xf>
    <xf numFmtId="43" fontId="211" fillId="0" borderId="20" xfId="92" applyNumberFormat="1" applyFont="1" applyFill="1" applyBorder="1" applyAlignment="1">
      <alignment vertical="center"/>
    </xf>
    <xf numFmtId="43" fontId="34" fillId="0" borderId="19" xfId="92" applyNumberFormat="1" applyFont="1" applyFill="1" applyBorder="1" applyAlignment="1">
      <alignment horizontal="center" vertical="center"/>
    </xf>
    <xf numFmtId="43" fontId="34" fillId="0" borderId="20" xfId="92" applyNumberFormat="1" applyFont="1" applyFill="1" applyBorder="1" applyAlignment="1">
      <alignment horizontal="center" vertical="center"/>
    </xf>
    <xf numFmtId="43" fontId="34" fillId="0" borderId="19" xfId="24" applyNumberFormat="1" applyFont="1" applyFill="1" applyBorder="1" applyAlignment="1">
      <alignment horizontal="centerContinuous"/>
    </xf>
    <xf numFmtId="43" fontId="34" fillId="0" borderId="19" xfId="24" applyNumberFormat="1" applyFont="1" applyFill="1" applyBorder="1" applyAlignment="1">
      <alignment horizontal="center"/>
    </xf>
    <xf numFmtId="0" fontId="35" fillId="0" borderId="19" xfId="92" applyFont="1" applyBorder="1"/>
    <xf numFmtId="230" fontId="35" fillId="0" borderId="5" xfId="92" applyNumberFormat="1" applyFont="1" applyFill="1" applyBorder="1" applyAlignment="1">
      <alignment horizontal="center" vertical="center"/>
    </xf>
    <xf numFmtId="0" fontId="35" fillId="0" borderId="0" xfId="92" applyFont="1" applyFill="1" applyBorder="1" applyAlignment="1">
      <alignment vertical="center"/>
    </xf>
    <xf numFmtId="0" fontId="35" fillId="0" borderId="23" xfId="92" applyFont="1" applyFill="1" applyBorder="1" applyAlignment="1">
      <alignment vertical="center"/>
    </xf>
    <xf numFmtId="3" fontId="35" fillId="0" borderId="5" xfId="92" applyNumberFormat="1" applyFont="1" applyBorder="1"/>
    <xf numFmtId="0" fontId="35" fillId="0" borderId="5" xfId="92" applyFont="1" applyBorder="1"/>
    <xf numFmtId="226" fontId="35" fillId="0" borderId="0" xfId="92" applyNumberFormat="1" applyFont="1" applyFill="1" applyBorder="1" applyAlignment="1">
      <alignment horizontal="center" vertical="center"/>
    </xf>
    <xf numFmtId="0" fontId="35" fillId="0" borderId="5" xfId="92" applyFont="1" applyFill="1" applyBorder="1" applyAlignment="1">
      <alignment horizontal="center" vertical="center" shrinkToFit="1"/>
    </xf>
    <xf numFmtId="43" fontId="35" fillId="0" borderId="5" xfId="24" applyFont="1" applyBorder="1"/>
    <xf numFmtId="192" fontId="35" fillId="0" borderId="5" xfId="92" applyNumberFormat="1" applyFont="1" applyBorder="1" applyAlignment="1">
      <alignment horizontal="center"/>
    </xf>
    <xf numFmtId="43" fontId="35" fillId="0" borderId="5" xfId="92" applyNumberFormat="1" applyFont="1" applyBorder="1"/>
    <xf numFmtId="0" fontId="35" fillId="0" borderId="0" xfId="92" applyFont="1" applyFill="1" applyBorder="1" applyAlignment="1">
      <alignment horizontal="center" vertical="center" shrinkToFit="1"/>
    </xf>
    <xf numFmtId="43" fontId="42" fillId="0" borderId="5" xfId="24" applyFont="1" applyBorder="1"/>
    <xf numFmtId="226" fontId="35" fillId="0" borderId="0" xfId="92" applyNumberFormat="1" applyFont="1" applyFill="1" applyBorder="1" applyAlignment="1">
      <alignment horizontal="left" vertical="center"/>
    </xf>
    <xf numFmtId="0" fontId="45" fillId="0" borderId="0" xfId="92" applyFont="1"/>
    <xf numFmtId="0" fontId="35" fillId="0" borderId="0" xfId="92" applyFont="1" applyFill="1" applyBorder="1" applyAlignment="1">
      <alignment horizontal="left" vertical="center"/>
    </xf>
    <xf numFmtId="0" fontId="35" fillId="0" borderId="5" xfId="92" applyFont="1" applyBorder="1" applyAlignment="1">
      <alignment horizontal="center"/>
    </xf>
    <xf numFmtId="0" fontId="35" fillId="0" borderId="0" xfId="92" applyFont="1" applyBorder="1"/>
    <xf numFmtId="0" fontId="35" fillId="0" borderId="23" xfId="92" applyFont="1" applyBorder="1"/>
    <xf numFmtId="0" fontId="35" fillId="0" borderId="0" xfId="92" applyFont="1" applyFill="1" applyBorder="1" applyAlignment="1">
      <alignment horizontal="center" vertical="center"/>
    </xf>
    <xf numFmtId="43" fontId="42" fillId="0" borderId="0" xfId="92" applyNumberFormat="1" applyFont="1"/>
    <xf numFmtId="0" fontId="34" fillId="0" borderId="0" xfId="92" applyFont="1" applyFill="1" applyBorder="1" applyAlignment="1">
      <alignment horizontal="center" vertical="center"/>
    </xf>
    <xf numFmtId="0" fontId="35" fillId="0" borderId="0" xfId="92" applyFont="1" applyFill="1" applyAlignment="1">
      <alignment vertical="center"/>
    </xf>
    <xf numFmtId="0" fontId="35" fillId="0" borderId="21" xfId="92" applyFont="1" applyBorder="1"/>
    <xf numFmtId="0" fontId="35" fillId="0" borderId="5" xfId="92" applyFont="1" applyFill="1" applyBorder="1" applyAlignment="1">
      <alignment horizontal="center" vertical="center"/>
    </xf>
    <xf numFmtId="0" fontId="35" fillId="0" borderId="24" xfId="92" applyFont="1" applyBorder="1" applyAlignment="1">
      <alignment horizontal="center"/>
    </xf>
    <xf numFmtId="0" fontId="35" fillId="0" borderId="24" xfId="92" applyFont="1" applyBorder="1"/>
    <xf numFmtId="3" fontId="35" fillId="0" borderId="24" xfId="92" applyNumberFormat="1" applyFont="1" applyBorder="1"/>
    <xf numFmtId="0" fontId="35" fillId="0" borderId="19" xfId="92" applyFont="1" applyBorder="1" applyAlignment="1">
      <alignment horizontal="center"/>
    </xf>
    <xf numFmtId="0" fontId="35" fillId="0" borderId="22" xfId="92" applyFont="1" applyBorder="1"/>
    <xf numFmtId="0" fontId="34" fillId="0" borderId="24" xfId="92" quotePrefix="1" applyFont="1" applyFill="1" applyBorder="1" applyAlignment="1">
      <alignment horizontal="left"/>
    </xf>
    <xf numFmtId="0" fontId="35" fillId="0" borderId="20" xfId="92" applyFont="1" applyBorder="1"/>
    <xf numFmtId="3" fontId="35" fillId="0" borderId="19" xfId="92" applyNumberFormat="1" applyFont="1" applyBorder="1"/>
    <xf numFmtId="43" fontId="35" fillId="0" borderId="19" xfId="24" applyFont="1" applyBorder="1" applyAlignment="1">
      <alignment horizontal="center"/>
    </xf>
    <xf numFmtId="188" fontId="34" fillId="0" borderId="0" xfId="92" applyNumberFormat="1" applyFont="1" applyFill="1" applyBorder="1"/>
    <xf numFmtId="3" fontId="35" fillId="0" borderId="5" xfId="92" applyNumberFormat="1" applyFont="1" applyBorder="1" applyAlignment="1">
      <alignment horizontal="center"/>
    </xf>
    <xf numFmtId="0" fontId="34" fillId="0" borderId="0" xfId="92" applyFont="1" applyFill="1" applyBorder="1" applyAlignment="1">
      <alignment horizontal="left"/>
    </xf>
    <xf numFmtId="43" fontId="35" fillId="0" borderId="5" xfId="24" applyFont="1" applyBorder="1" applyAlignment="1">
      <alignment horizontal="center"/>
    </xf>
    <xf numFmtId="0" fontId="35" fillId="0" borderId="10" xfId="92" applyFont="1" applyBorder="1" applyAlignment="1">
      <alignment horizontal="center"/>
    </xf>
    <xf numFmtId="0" fontId="35" fillId="0" borderId="25" xfId="92" applyFont="1" applyBorder="1"/>
    <xf numFmtId="0" fontId="35" fillId="0" borderId="18" xfId="92" applyFont="1" applyBorder="1"/>
    <xf numFmtId="0" fontId="35" fillId="0" borderId="26" xfId="92" applyFont="1" applyBorder="1"/>
    <xf numFmtId="4" fontId="35" fillId="0" borderId="10" xfId="92" applyNumberFormat="1" applyFont="1" applyBorder="1"/>
    <xf numFmtId="2" fontId="35" fillId="0" borderId="10" xfId="92" applyNumberFormat="1" applyFont="1" applyBorder="1"/>
    <xf numFmtId="3" fontId="35" fillId="0" borderId="10" xfId="92" applyNumberFormat="1" applyFont="1" applyBorder="1"/>
    <xf numFmtId="0" fontId="35" fillId="0" borderId="10" xfId="92" applyFont="1" applyBorder="1"/>
    <xf numFmtId="0" fontId="35" fillId="0" borderId="0" xfId="92" applyFont="1" applyBorder="1" applyAlignment="1">
      <alignment horizontal="center"/>
    </xf>
    <xf numFmtId="2" fontId="35" fillId="0" borderId="0" xfId="92" applyNumberFormat="1" applyFont="1" applyBorder="1"/>
    <xf numFmtId="3" fontId="35" fillId="0" borderId="0" xfId="92" applyNumberFormat="1" applyFont="1" applyBorder="1"/>
    <xf numFmtId="0" fontId="48" fillId="0" borderId="0" xfId="92" applyFont="1"/>
    <xf numFmtId="0" fontId="35" fillId="0" borderId="0" xfId="92" quotePrefix="1" applyFont="1" applyAlignment="1" applyProtection="1">
      <alignment horizontal="left"/>
      <protection locked="0"/>
    </xf>
    <xf numFmtId="0" fontId="35" fillId="0" borderId="0" xfId="92" applyFont="1" applyAlignment="1" applyProtection="1">
      <alignment horizontal="left"/>
      <protection locked="0"/>
    </xf>
    <xf numFmtId="0" fontId="35" fillId="0" borderId="0" xfId="92" applyFont="1" applyAlignment="1" applyProtection="1">
      <alignment horizontal="right"/>
      <protection locked="0"/>
    </xf>
    <xf numFmtId="0" fontId="49" fillId="0" borderId="0" xfId="0" applyFont="1" applyFill="1" applyAlignment="1" applyProtection="1">
      <alignment horizontal="center" vertical="center"/>
    </xf>
    <xf numFmtId="43" fontId="42" fillId="0" borderId="0" xfId="24" applyFont="1" applyAlignment="1" applyProtection="1">
      <alignment horizontal="center"/>
    </xf>
    <xf numFmtId="223" fontId="42" fillId="29" borderId="4" xfId="0" applyNumberFormat="1" applyFont="1" applyFill="1" applyBorder="1" applyProtection="1"/>
    <xf numFmtId="41" fontId="42" fillId="0" borderId="0" xfId="0" applyNumberFormat="1" applyFont="1" applyFill="1"/>
    <xf numFmtId="0" fontId="42" fillId="0" borderId="4" xfId="0" applyFont="1" applyBorder="1" applyAlignment="1">
      <alignment horizontal="center"/>
    </xf>
    <xf numFmtId="43" fontId="42" fillId="0" borderId="0" xfId="24" applyFont="1" applyProtection="1"/>
    <xf numFmtId="43" fontId="0" fillId="0" borderId="0" xfId="24" applyFont="1"/>
    <xf numFmtId="43" fontId="42" fillId="0" borderId="0" xfId="24" applyFont="1" applyAlignment="1" applyProtection="1">
      <alignment vertical="center"/>
    </xf>
    <xf numFmtId="43" fontId="166" fillId="0" borderId="0" xfId="24" applyFont="1"/>
    <xf numFmtId="43" fontId="34" fillId="0" borderId="0" xfId="24" applyFont="1" applyAlignment="1" applyProtection="1">
      <alignment vertical="center"/>
    </xf>
    <xf numFmtId="43" fontId="50" fillId="0" borderId="0" xfId="24" applyFont="1" applyAlignment="1" applyProtection="1">
      <alignment vertical="center"/>
    </xf>
    <xf numFmtId="43" fontId="36" fillId="0" borderId="0" xfId="24" applyFont="1" applyAlignment="1" applyProtection="1">
      <alignment horizontal="left" vertical="center" wrapText="1"/>
    </xf>
    <xf numFmtId="43" fontId="42" fillId="0" borderId="0" xfId="24" applyFont="1" applyFill="1" applyAlignment="1" applyProtection="1">
      <alignment vertical="center"/>
    </xf>
    <xf numFmtId="0" fontId="35" fillId="0" borderId="0" xfId="51" applyFont="1" applyAlignment="1">
      <alignment vertical="center"/>
    </xf>
    <xf numFmtId="2" fontId="162" fillId="0" borderId="4" xfId="51" applyNumberFormat="1" applyFont="1" applyBorder="1" applyAlignment="1">
      <alignment horizontal="center" vertical="center"/>
    </xf>
    <xf numFmtId="43" fontId="42" fillId="0" borderId="0" xfId="24" applyFont="1" applyAlignment="1">
      <alignment vertical="center"/>
    </xf>
    <xf numFmtId="43" fontId="42" fillId="0" borderId="0" xfId="24" applyFont="1" applyFill="1" applyAlignment="1">
      <alignment vertical="center"/>
    </xf>
    <xf numFmtId="43" fontId="49" fillId="0" borderId="0" xfId="24" applyFont="1" applyFill="1" applyAlignment="1">
      <alignment vertical="center"/>
    </xf>
    <xf numFmtId="43" fontId="49" fillId="0" borderId="0" xfId="24" applyFont="1"/>
    <xf numFmtId="200" fontId="42" fillId="0" borderId="10" xfId="0" applyNumberFormat="1" applyFont="1" applyBorder="1" applyAlignment="1">
      <alignment vertical="center"/>
    </xf>
    <xf numFmtId="0" fontId="42" fillId="0" borderId="4" xfId="0" applyFont="1" applyBorder="1" applyAlignment="1">
      <alignment horizontal="center"/>
    </xf>
    <xf numFmtId="0" fontId="0" fillId="0" borderId="4" xfId="0" applyBorder="1"/>
    <xf numFmtId="43" fontId="42" fillId="0" borderId="4" xfId="24" applyFont="1" applyBorder="1" applyAlignment="1">
      <alignment vertical="center"/>
    </xf>
    <xf numFmtId="43" fontId="0" fillId="0" borderId="4" xfId="24" applyFont="1" applyBorder="1"/>
    <xf numFmtId="0" fontId="0" fillId="0" borderId="41" xfId="0" applyBorder="1"/>
    <xf numFmtId="43" fontId="0" fillId="0" borderId="4" xfId="24" applyFont="1" applyBorder="1" applyAlignment="1">
      <alignment horizontal="center"/>
    </xf>
    <xf numFmtId="0" fontId="49" fillId="0" borderId="4" xfId="51" applyFont="1" applyBorder="1" applyAlignment="1">
      <alignment horizontal="center" vertical="center"/>
    </xf>
    <xf numFmtId="2" fontId="42" fillId="0" borderId="0" xfId="51" applyNumberFormat="1" applyFont="1" applyAlignment="1">
      <alignment horizontal="center" vertical="center"/>
    </xf>
    <xf numFmtId="0" fontId="213" fillId="0" borderId="0" xfId="0" applyFont="1" applyAlignment="1">
      <alignment horizontal="center" vertical="center"/>
    </xf>
    <xf numFmtId="0" fontId="212" fillId="0" borderId="10" xfId="0" applyFont="1" applyBorder="1" applyAlignment="1">
      <alignment horizontal="center" vertical="center"/>
    </xf>
    <xf numFmtId="0" fontId="212" fillId="0" borderId="20" xfId="0" applyFont="1" applyBorder="1" applyAlignment="1">
      <alignment horizontal="center" vertical="center"/>
    </xf>
    <xf numFmtId="0" fontId="212" fillId="0" borderId="26" xfId="0" applyFont="1" applyBorder="1" applyAlignment="1">
      <alignment horizontal="center" vertical="center"/>
    </xf>
    <xf numFmtId="0" fontId="213" fillId="0" borderId="4" xfId="0" applyFont="1" applyBorder="1" applyAlignment="1">
      <alignment horizontal="center" vertical="center"/>
    </xf>
    <xf numFmtId="2" fontId="213" fillId="46" borderId="56" xfId="0" applyNumberFormat="1" applyFont="1" applyFill="1" applyBorder="1" applyAlignment="1">
      <alignment horizontal="center" vertical="center"/>
    </xf>
    <xf numFmtId="189" fontId="213" fillId="46" borderId="56" xfId="0" applyNumberFormat="1" applyFont="1" applyFill="1" applyBorder="1" applyAlignment="1">
      <alignment horizontal="center" vertical="center"/>
    </xf>
    <xf numFmtId="2" fontId="213" fillId="46" borderId="59" xfId="0" applyNumberFormat="1" applyFont="1" applyFill="1" applyBorder="1" applyAlignment="1">
      <alignment horizontal="center" vertical="top"/>
    </xf>
    <xf numFmtId="189" fontId="213" fillId="46" borderId="59" xfId="0" applyNumberFormat="1" applyFont="1" applyFill="1" applyBorder="1" applyAlignment="1">
      <alignment horizontal="center" vertical="top"/>
    </xf>
    <xf numFmtId="189" fontId="213" fillId="46" borderId="59" xfId="0" applyNumberFormat="1" applyFont="1" applyFill="1" applyBorder="1" applyAlignment="1">
      <alignment horizontal="center" vertical="center"/>
    </xf>
    <xf numFmtId="2" fontId="213" fillId="46" borderId="59" xfId="0" applyNumberFormat="1" applyFont="1" applyFill="1" applyBorder="1" applyAlignment="1">
      <alignment horizontal="center" vertical="center"/>
    </xf>
    <xf numFmtId="2" fontId="213" fillId="46" borderId="64" xfId="0" applyNumberFormat="1" applyFont="1" applyFill="1" applyBorder="1" applyAlignment="1">
      <alignment horizontal="center" vertical="center"/>
    </xf>
    <xf numFmtId="189" fontId="213" fillId="46" borderId="64" xfId="0" applyNumberFormat="1" applyFont="1" applyFill="1" applyBorder="1" applyAlignment="1">
      <alignment horizontal="center" vertical="center"/>
    </xf>
    <xf numFmtId="0" fontId="44" fillId="24" borderId="4" xfId="0" applyFont="1" applyFill="1" applyBorder="1" applyAlignment="1" applyProtection="1">
      <alignment horizontal="center" vertical="center"/>
    </xf>
    <xf numFmtId="3" fontId="44" fillId="24" borderId="1" xfId="0" applyNumberFormat="1" applyFont="1" applyFill="1" applyBorder="1" applyAlignment="1" applyProtection="1">
      <alignment horizontal="center" vertical="center"/>
    </xf>
    <xf numFmtId="0" fontId="44" fillId="24" borderId="19" xfId="0" applyFont="1" applyFill="1" applyBorder="1" applyAlignment="1" applyProtection="1">
      <alignment horizontal="center" vertical="center"/>
    </xf>
    <xf numFmtId="0" fontId="44" fillId="24" borderId="10" xfId="0" applyFont="1" applyFill="1" applyBorder="1" applyAlignment="1" applyProtection="1">
      <alignment horizontal="center" vertical="center"/>
    </xf>
    <xf numFmtId="0" fontId="44" fillId="24" borderId="25" xfId="0" applyFont="1" applyFill="1" applyBorder="1" applyAlignment="1" applyProtection="1">
      <alignment horizontal="center" vertical="center"/>
    </xf>
    <xf numFmtId="0" fontId="42" fillId="0" borderId="4" xfId="0" applyFont="1" applyBorder="1" applyAlignment="1">
      <alignment horizontal="center"/>
    </xf>
    <xf numFmtId="0" fontId="49" fillId="0" borderId="4" xfId="51" applyFont="1" applyBorder="1" applyAlignment="1">
      <alignment horizontal="center" vertical="center"/>
    </xf>
    <xf numFmtId="0" fontId="34" fillId="47" borderId="22" xfId="0" applyFont="1" applyFill="1" applyBorder="1" applyAlignment="1" applyProtection="1">
      <alignment vertical="center"/>
    </xf>
    <xf numFmtId="0" fontId="109" fillId="47" borderId="20" xfId="0" applyFont="1" applyFill="1" applyBorder="1" applyAlignment="1">
      <alignment horizontal="center" vertical="center"/>
    </xf>
    <xf numFmtId="0" fontId="34" fillId="47" borderId="21" xfId="0" applyFont="1" applyFill="1" applyBorder="1" applyAlignment="1" applyProtection="1">
      <alignment vertical="center"/>
    </xf>
    <xf numFmtId="0" fontId="35" fillId="47" borderId="23" xfId="0" applyFont="1" applyFill="1" applyBorder="1" applyAlignment="1" applyProtection="1">
      <alignment vertical="center"/>
    </xf>
    <xf numFmtId="39" fontId="34" fillId="47" borderId="25" xfId="0" applyNumberFormat="1" applyFont="1" applyFill="1" applyBorder="1" applyAlignment="1" applyProtection="1">
      <alignment vertical="center"/>
    </xf>
    <xf numFmtId="0" fontId="35" fillId="47" borderId="26" xfId="0" applyFont="1" applyFill="1" applyBorder="1" applyAlignment="1" applyProtection="1">
      <alignment vertical="center"/>
    </xf>
    <xf numFmtId="0" fontId="34" fillId="47" borderId="5" xfId="0" applyFont="1" applyFill="1" applyBorder="1" applyAlignment="1" applyProtection="1">
      <alignment horizontal="center" vertical="center"/>
    </xf>
    <xf numFmtId="0" fontId="34" fillId="47" borderId="1" xfId="0" applyFont="1" applyFill="1" applyBorder="1" applyAlignment="1" applyProtection="1">
      <alignment vertical="center"/>
    </xf>
    <xf numFmtId="0" fontId="35" fillId="47" borderId="3" xfId="0" applyFont="1" applyFill="1" applyBorder="1" applyAlignment="1" applyProtection="1">
      <alignment vertical="center"/>
    </xf>
    <xf numFmtId="189" fontId="34" fillId="47" borderId="41" xfId="0" applyNumberFormat="1" applyFont="1" applyFill="1" applyBorder="1" applyAlignment="1" applyProtection="1">
      <alignment vertical="center"/>
      <protection locked="0"/>
    </xf>
    <xf numFmtId="0" fontId="34" fillId="47" borderId="4" xfId="0" applyFont="1" applyFill="1" applyBorder="1" applyAlignment="1" applyProtection="1">
      <alignment horizontal="right" vertical="center"/>
    </xf>
    <xf numFmtId="0" fontId="34" fillId="47" borderId="4" xfId="0" applyFont="1" applyFill="1" applyBorder="1" applyAlignment="1" applyProtection="1">
      <alignment vertical="center"/>
    </xf>
    <xf numFmtId="0" fontId="40" fillId="47" borderId="4" xfId="0" applyFont="1" applyFill="1" applyBorder="1" applyAlignment="1">
      <alignment horizontal="center" vertical="center"/>
    </xf>
    <xf numFmtId="0" fontId="40" fillId="47" borderId="4" xfId="0" applyFont="1" applyFill="1" applyBorder="1" applyAlignment="1" applyProtection="1">
      <alignment horizontal="center" vertical="center"/>
    </xf>
    <xf numFmtId="0" fontId="40" fillId="47" borderId="19" xfId="0" applyFont="1" applyFill="1" applyBorder="1" applyAlignment="1" applyProtection="1">
      <alignment horizontal="center" vertical="center" wrapText="1"/>
    </xf>
    <xf numFmtId="0" fontId="40" fillId="47" borderId="4" xfId="0" applyFont="1" applyFill="1" applyBorder="1" applyAlignment="1" applyProtection="1">
      <alignment horizontal="center" vertical="center" wrapText="1"/>
    </xf>
    <xf numFmtId="0" fontId="40" fillId="47" borderId="1" xfId="0" applyFont="1" applyFill="1" applyBorder="1" applyAlignment="1" applyProtection="1">
      <alignment vertical="center"/>
    </xf>
    <xf numFmtId="0" fontId="167" fillId="47" borderId="3" xfId="0" applyFont="1" applyFill="1" applyBorder="1" applyAlignment="1" applyProtection="1">
      <alignment vertical="center"/>
    </xf>
    <xf numFmtId="0" fontId="167" fillId="47" borderId="3" xfId="0" applyFont="1" applyFill="1" applyBorder="1" applyAlignment="1" applyProtection="1">
      <alignment horizontal="center" vertical="center"/>
    </xf>
    <xf numFmtId="0" fontId="167" fillId="47" borderId="41" xfId="0" applyFont="1" applyFill="1" applyBorder="1" applyAlignment="1" applyProtection="1">
      <alignment vertical="center"/>
    </xf>
    <xf numFmtId="0" fontId="75" fillId="47" borderId="4" xfId="0" applyFont="1" applyFill="1" applyBorder="1" applyAlignment="1" applyProtection="1">
      <alignment horizontal="center" vertical="center"/>
    </xf>
    <xf numFmtId="0" fontId="34" fillId="47" borderId="4" xfId="0" applyFont="1" applyFill="1" applyBorder="1" applyAlignment="1" applyProtection="1">
      <alignment horizontal="center" vertical="center"/>
    </xf>
    <xf numFmtId="0" fontId="40" fillId="47" borderId="41" xfId="0" applyFont="1" applyFill="1" applyBorder="1" applyAlignment="1">
      <alignment vertical="center"/>
    </xf>
    <xf numFmtId="0" fontId="34" fillId="47" borderId="25" xfId="0" applyFont="1" applyFill="1" applyBorder="1" applyAlignment="1" applyProtection="1">
      <alignment vertical="center"/>
    </xf>
    <xf numFmtId="0" fontId="40" fillId="47" borderId="26" xfId="0" applyFont="1" applyFill="1" applyBorder="1" applyAlignment="1">
      <alignment vertical="center"/>
    </xf>
    <xf numFmtId="0" fontId="34" fillId="47" borderId="4" xfId="0" applyFont="1" applyFill="1" applyBorder="1" applyAlignment="1" applyProtection="1">
      <alignment horizontal="center" vertical="center" wrapText="1"/>
    </xf>
    <xf numFmtId="0" fontId="44" fillId="47" borderId="19" xfId="0" applyFont="1" applyFill="1" applyBorder="1" applyAlignment="1">
      <alignment horizontal="center" vertical="center"/>
    </xf>
    <xf numFmtId="0" fontId="44" fillId="47" borderId="10" xfId="0" applyFont="1" applyFill="1" applyBorder="1" applyAlignment="1">
      <alignment horizontal="center" vertical="center"/>
    </xf>
    <xf numFmtId="0" fontId="44" fillId="47" borderId="4" xfId="0" applyFont="1" applyFill="1" applyBorder="1" applyAlignment="1">
      <alignment horizontal="center" vertical="center"/>
    </xf>
    <xf numFmtId="0" fontId="42" fillId="13" borderId="4" xfId="51" applyFont="1" applyFill="1" applyBorder="1" applyAlignment="1">
      <alignment horizontal="center"/>
    </xf>
    <xf numFmtId="0" fontId="49" fillId="0" borderId="0" xfId="51" applyFont="1" applyAlignment="1" applyProtection="1">
      <alignment horizontal="center" vertical="center"/>
    </xf>
    <xf numFmtId="0" fontId="49" fillId="0" borderId="0" xfId="0" applyFont="1" applyAlignment="1" applyProtection="1">
      <alignment vertical="center"/>
    </xf>
    <xf numFmtId="0" fontId="214" fillId="0" borderId="39" xfId="0" applyFont="1" applyBorder="1"/>
    <xf numFmtId="0" fontId="214" fillId="0" borderId="28" xfId="0" applyFont="1" applyBorder="1"/>
    <xf numFmtId="0" fontId="108" fillId="0" borderId="28" xfId="0" applyFont="1" applyBorder="1"/>
    <xf numFmtId="0" fontId="214" fillId="0" borderId="29" xfId="0" applyFont="1" applyBorder="1"/>
    <xf numFmtId="0" fontId="214" fillId="0" borderId="0" xfId="0" applyFont="1" applyBorder="1"/>
    <xf numFmtId="0" fontId="108" fillId="0" borderId="0" xfId="0" applyFont="1" applyBorder="1"/>
    <xf numFmtId="0" fontId="214" fillId="0" borderId="31" xfId="0" applyFont="1" applyBorder="1"/>
    <xf numFmtId="0" fontId="214" fillId="0" borderId="32" xfId="0" applyFont="1" applyBorder="1"/>
    <xf numFmtId="0" fontId="108" fillId="0" borderId="32" xfId="0" applyFont="1" applyBorder="1"/>
    <xf numFmtId="0" fontId="35" fillId="31" borderId="61" xfId="51" applyFont="1" applyFill="1" applyBorder="1" applyAlignment="1" applyProtection="1">
      <alignment vertical="center"/>
      <protection locked="0"/>
    </xf>
    <xf numFmtId="0" fontId="35" fillId="31" borderId="60" xfId="51" applyFont="1" applyFill="1" applyBorder="1" applyAlignment="1" applyProtection="1">
      <alignment vertical="center"/>
      <protection locked="0"/>
    </xf>
    <xf numFmtId="0" fontId="177" fillId="31" borderId="66" xfId="51" applyFont="1" applyFill="1" applyBorder="1" applyAlignment="1" applyProtection="1">
      <alignment vertical="center"/>
      <protection locked="0"/>
    </xf>
    <xf numFmtId="0" fontId="110" fillId="31" borderId="61" xfId="51" applyFont="1" applyFill="1" applyBorder="1" applyAlignment="1" applyProtection="1">
      <alignment vertical="center"/>
      <protection locked="0"/>
    </xf>
    <xf numFmtId="0" fontId="110" fillId="31" borderId="60" xfId="51" applyFont="1" applyFill="1" applyBorder="1" applyAlignment="1" applyProtection="1">
      <alignment vertical="center"/>
      <protection locked="0"/>
    </xf>
    <xf numFmtId="0" fontId="177" fillId="31" borderId="66" xfId="0" applyFont="1" applyFill="1" applyBorder="1" applyAlignment="1" applyProtection="1">
      <alignment vertical="center"/>
    </xf>
    <xf numFmtId="0" fontId="148" fillId="31" borderId="61" xfId="0" applyFont="1" applyFill="1" applyBorder="1" applyAlignment="1" applyProtection="1">
      <alignment vertical="center"/>
    </xf>
    <xf numFmtId="0" fontId="148" fillId="31" borderId="60" xfId="0" applyFont="1" applyFill="1" applyBorder="1" applyAlignment="1" applyProtection="1">
      <alignment vertical="center"/>
    </xf>
    <xf numFmtId="0" fontId="148" fillId="31" borderId="66" xfId="51" applyFont="1" applyFill="1" applyBorder="1" applyAlignment="1" applyProtection="1">
      <alignment vertical="center"/>
      <protection locked="0"/>
    </xf>
    <xf numFmtId="43" fontId="153" fillId="31" borderId="59" xfId="24" applyFont="1" applyFill="1" applyBorder="1" applyAlignment="1">
      <alignment horizontal="center" vertical="center"/>
    </xf>
    <xf numFmtId="0" fontId="153" fillId="31" borderId="56" xfId="0" applyFont="1" applyFill="1" applyBorder="1" applyAlignment="1" applyProtection="1">
      <alignment horizontal="center" vertical="center"/>
      <protection locked="0"/>
    </xf>
    <xf numFmtId="0" fontId="177" fillId="31" borderId="3" xfId="0" applyFont="1" applyFill="1" applyBorder="1" applyAlignment="1" applyProtection="1">
      <alignment vertical="center"/>
      <protection locked="0"/>
    </xf>
    <xf numFmtId="0" fontId="177" fillId="31" borderId="41" xfId="0" applyFont="1" applyFill="1" applyBorder="1" applyAlignment="1" applyProtection="1">
      <alignment vertical="center"/>
    </xf>
    <xf numFmtId="0" fontId="142" fillId="31" borderId="41" xfId="0" applyFont="1" applyFill="1" applyBorder="1" applyAlignment="1" applyProtection="1">
      <alignment vertical="center"/>
      <protection locked="0"/>
    </xf>
    <xf numFmtId="0" fontId="177" fillId="31" borderId="1" xfId="0" applyFont="1" applyFill="1" applyBorder="1" applyAlignment="1" applyProtection="1">
      <alignment vertical="center"/>
      <protection locked="0"/>
    </xf>
    <xf numFmtId="0" fontId="142" fillId="31" borderId="24" xfId="0" applyFont="1" applyFill="1" applyBorder="1" applyAlignment="1" applyProtection="1">
      <alignment vertical="center"/>
      <protection locked="0"/>
    </xf>
    <xf numFmtId="39" fontId="142" fillId="31" borderId="20" xfId="0" applyNumberFormat="1" applyFont="1" applyFill="1" applyBorder="1" applyAlignment="1" applyProtection="1">
      <alignment vertical="center"/>
      <protection locked="0"/>
    </xf>
    <xf numFmtId="189" fontId="177" fillId="31" borderId="4" xfId="0" applyNumberFormat="1" applyFont="1" applyFill="1" applyBorder="1" applyAlignment="1" applyProtection="1">
      <alignment horizontal="center" vertical="center"/>
      <protection locked="0"/>
    </xf>
    <xf numFmtId="189" fontId="177" fillId="31" borderId="4" xfId="0" applyNumberFormat="1" applyFont="1" applyFill="1" applyBorder="1" applyAlignment="1" applyProtection="1">
      <alignment horizontal="center" vertical="center"/>
    </xf>
    <xf numFmtId="0" fontId="153" fillId="31" borderId="60" xfId="51" applyFont="1" applyFill="1" applyBorder="1" applyAlignment="1" applyProtection="1">
      <alignment horizontal="center" vertical="center"/>
      <protection locked="0"/>
    </xf>
    <xf numFmtId="43" fontId="177" fillId="31" borderId="59" xfId="51" quotePrefix="1" applyNumberFormat="1" applyFont="1" applyFill="1" applyBorder="1" applyAlignment="1" applyProtection="1">
      <alignment horizontal="right" vertical="center"/>
      <protection locked="0"/>
    </xf>
    <xf numFmtId="0" fontId="177" fillId="31" borderId="60" xfId="24" applyNumberFormat="1" applyFont="1" applyFill="1" applyBorder="1" applyAlignment="1" applyProtection="1">
      <alignment horizontal="center" vertical="center"/>
      <protection locked="0"/>
    </xf>
    <xf numFmtId="0" fontId="177" fillId="31" borderId="4" xfId="0" applyFont="1" applyFill="1" applyBorder="1" applyAlignment="1" applyProtection="1">
      <alignment horizontal="center" vertical="center"/>
      <protection locked="0"/>
    </xf>
    <xf numFmtId="0" fontId="177" fillId="31" borderId="4" xfId="51" applyFont="1" applyFill="1" applyBorder="1" applyAlignment="1" applyProtection="1">
      <alignment horizontal="center" vertical="center"/>
      <protection locked="0"/>
    </xf>
    <xf numFmtId="4" fontId="177" fillId="31" borderId="59" xfId="0" applyNumberFormat="1" applyFont="1" applyFill="1" applyBorder="1" applyAlignment="1">
      <alignment vertical="center"/>
    </xf>
    <xf numFmtId="0" fontId="148" fillId="31" borderId="60" xfId="24" applyNumberFormat="1" applyFont="1" applyFill="1" applyBorder="1" applyAlignment="1" applyProtection="1">
      <alignment horizontal="center" vertical="center"/>
      <protection locked="0"/>
    </xf>
    <xf numFmtId="0" fontId="153" fillId="31" borderId="61" xfId="0" applyFont="1" applyFill="1" applyBorder="1" applyAlignment="1" applyProtection="1">
      <alignment vertical="center"/>
    </xf>
    <xf numFmtId="0" fontId="153" fillId="31" borderId="60" xfId="0" applyFont="1" applyFill="1" applyBorder="1" applyAlignment="1" applyProtection="1">
      <alignment vertical="center"/>
    </xf>
    <xf numFmtId="0" fontId="148" fillId="31" borderId="66" xfId="0" applyFont="1" applyFill="1" applyBorder="1" applyAlignment="1" applyProtection="1">
      <alignment vertical="center"/>
    </xf>
    <xf numFmtId="0" fontId="148" fillId="31" borderId="61" xfId="51" applyFont="1" applyFill="1" applyBorder="1" applyAlignment="1" applyProtection="1">
      <alignment vertical="center"/>
      <protection locked="0"/>
    </xf>
    <xf numFmtId="0" fontId="148" fillId="31" borderId="60" xfId="51" applyFont="1" applyFill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</xf>
    <xf numFmtId="0" fontId="108" fillId="0" borderId="10" xfId="0" applyFont="1" applyBorder="1" applyAlignment="1">
      <alignment vertical="center"/>
    </xf>
    <xf numFmtId="0" fontId="108" fillId="0" borderId="26" xfId="0" applyFont="1" applyBorder="1" applyAlignment="1">
      <alignment vertical="center"/>
    </xf>
    <xf numFmtId="0" fontId="75" fillId="47" borderId="1" xfId="0" applyFont="1" applyFill="1" applyBorder="1" applyAlignment="1" applyProtection="1">
      <alignment vertical="center"/>
    </xf>
    <xf numFmtId="0" fontId="75" fillId="47" borderId="41" xfId="0" applyFont="1" applyFill="1" applyBorder="1" applyAlignment="1" applyProtection="1">
      <alignment vertical="center"/>
    </xf>
    <xf numFmtId="43" fontId="153" fillId="0" borderId="4" xfId="24" applyFont="1" applyBorder="1" applyAlignment="1">
      <alignment horizontal="center" vertical="center"/>
    </xf>
    <xf numFmtId="0" fontId="108" fillId="47" borderId="4" xfId="0" applyFont="1" applyFill="1" applyBorder="1" applyAlignment="1">
      <alignment horizontal="center" vertical="center"/>
    </xf>
    <xf numFmtId="0" fontId="34" fillId="47" borderId="4" xfId="0" applyFont="1" applyFill="1" applyBorder="1" applyAlignment="1">
      <alignment horizontal="center" vertical="center"/>
    </xf>
    <xf numFmtId="0" fontId="108" fillId="0" borderId="5" xfId="0" applyFont="1" applyBorder="1" applyAlignment="1">
      <alignment vertical="center"/>
    </xf>
    <xf numFmtId="0" fontId="42" fillId="0" borderId="21" xfId="0" applyFont="1" applyBorder="1" applyAlignment="1">
      <alignment vertical="center"/>
    </xf>
    <xf numFmtId="0" fontId="108" fillId="0" borderId="23" xfId="0" applyFont="1" applyBorder="1" applyAlignment="1">
      <alignment vertical="center"/>
    </xf>
    <xf numFmtId="3" fontId="42" fillId="0" borderId="5" xfId="0" applyNumberFormat="1" applyFont="1" applyBorder="1" applyAlignment="1" applyProtection="1">
      <alignment horizontal="center" vertical="center"/>
    </xf>
    <xf numFmtId="43" fontId="148" fillId="31" borderId="59" xfId="51" quotePrefix="1" applyNumberFormat="1" applyFont="1" applyFill="1" applyBorder="1" applyAlignment="1" applyProtection="1">
      <alignment horizontal="right" vertical="center"/>
      <protection locked="0"/>
    </xf>
    <xf numFmtId="43" fontId="177" fillId="31" borderId="59" xfId="24" applyFont="1" applyFill="1" applyBorder="1" applyAlignment="1">
      <alignment horizontal="center" vertical="center"/>
    </xf>
    <xf numFmtId="4" fontId="177" fillId="31" borderId="59" xfId="51" applyNumberFormat="1" applyFont="1" applyFill="1" applyBorder="1" applyAlignment="1" applyProtection="1">
      <alignment vertical="center"/>
    </xf>
    <xf numFmtId="43" fontId="177" fillId="31" borderId="59" xfId="24" applyFont="1" applyFill="1" applyBorder="1" applyAlignment="1" applyProtection="1">
      <alignment vertical="center"/>
    </xf>
    <xf numFmtId="0" fontId="164" fillId="31" borderId="0" xfId="0" applyFont="1" applyFill="1" applyAlignment="1">
      <alignment vertical="center"/>
    </xf>
    <xf numFmtId="43" fontId="177" fillId="31" borderId="59" xfId="24" applyFont="1" applyFill="1" applyBorder="1" applyAlignment="1">
      <alignment vertical="center"/>
    </xf>
    <xf numFmtId="3" fontId="177" fillId="31" borderId="59" xfId="24" applyNumberFormat="1" applyFont="1" applyFill="1" applyBorder="1" applyAlignment="1" applyProtection="1">
      <alignment horizontal="center" vertical="center"/>
    </xf>
    <xf numFmtId="0" fontId="177" fillId="31" borderId="61" xfId="0" applyFont="1" applyFill="1" applyBorder="1" applyAlignment="1" applyProtection="1">
      <alignment vertical="center"/>
      <protection locked="0"/>
    </xf>
    <xf numFmtId="0" fontId="164" fillId="31" borderId="61" xfId="0" applyFont="1" applyFill="1" applyBorder="1" applyAlignment="1">
      <alignment vertical="center"/>
    </xf>
    <xf numFmtId="0" fontId="164" fillId="31" borderId="60" xfId="0" applyFont="1" applyFill="1" applyBorder="1" applyAlignment="1">
      <alignment vertical="center"/>
    </xf>
    <xf numFmtId="0" fontId="42" fillId="31" borderId="55" xfId="51" applyFont="1" applyFill="1" applyBorder="1" applyAlignment="1" applyProtection="1">
      <alignment vertical="center"/>
    </xf>
    <xf numFmtId="43" fontId="148" fillId="31" borderId="59" xfId="24" quotePrefix="1" applyFont="1" applyFill="1" applyBorder="1" applyAlignment="1" applyProtection="1">
      <alignment vertical="center"/>
      <protection locked="0"/>
    </xf>
    <xf numFmtId="43" fontId="148" fillId="31" borderId="59" xfId="24" applyFont="1" applyFill="1" applyBorder="1" applyAlignment="1">
      <alignment vertical="center"/>
    </xf>
    <xf numFmtId="43" fontId="35" fillId="0" borderId="59" xfId="24" applyFont="1" applyFill="1" applyBorder="1" applyAlignment="1" applyProtection="1">
      <alignment horizontal="center" vertical="center"/>
      <protection locked="0"/>
    </xf>
    <xf numFmtId="0" fontId="160" fillId="0" borderId="1" xfId="0" applyFont="1" applyFill="1" applyBorder="1" applyAlignment="1" applyProtection="1">
      <alignment vertical="center"/>
    </xf>
    <xf numFmtId="3" fontId="165" fillId="0" borderId="41" xfId="0" applyNumberFormat="1" applyFont="1" applyFill="1" applyBorder="1" applyAlignment="1" applyProtection="1">
      <alignment vertical="center"/>
    </xf>
    <xf numFmtId="0" fontId="160" fillId="0" borderId="4" xfId="0" applyFont="1" applyFill="1" applyBorder="1" applyAlignment="1" applyProtection="1">
      <alignment horizontal="center" vertical="center"/>
    </xf>
    <xf numFmtId="43" fontId="160" fillId="0" borderId="1" xfId="24" applyFont="1" applyFill="1" applyBorder="1" applyAlignment="1" applyProtection="1">
      <alignment vertical="center"/>
    </xf>
    <xf numFmtId="0" fontId="165" fillId="0" borderId="1" xfId="0" applyFont="1" applyFill="1" applyBorder="1" applyAlignment="1" applyProtection="1">
      <alignment horizontal="left" vertical="center"/>
    </xf>
    <xf numFmtId="0" fontId="165" fillId="0" borderId="41" xfId="0" applyFont="1" applyFill="1" applyBorder="1" applyAlignment="1" applyProtection="1">
      <alignment horizontal="center" vertical="center"/>
    </xf>
    <xf numFmtId="0" fontId="160" fillId="0" borderId="1" xfId="0" applyFont="1" applyFill="1" applyBorder="1" applyAlignment="1" applyProtection="1">
      <alignment horizontal="center" vertical="center"/>
    </xf>
    <xf numFmtId="0" fontId="165" fillId="0" borderId="4" xfId="0" applyFont="1" applyFill="1" applyBorder="1" applyAlignment="1" applyProtection="1">
      <alignment horizontal="center" vertical="center"/>
    </xf>
    <xf numFmtId="39" fontId="165" fillId="0" borderId="4" xfId="0" applyNumberFormat="1" applyFont="1" applyFill="1" applyBorder="1" applyAlignment="1" applyProtection="1">
      <alignment vertical="center"/>
    </xf>
    <xf numFmtId="0" fontId="165" fillId="0" borderId="4" xfId="0" applyFont="1" applyFill="1" applyBorder="1" applyAlignment="1" applyProtection="1">
      <alignment vertical="center"/>
    </xf>
    <xf numFmtId="2" fontId="160" fillId="0" borderId="4" xfId="0" applyNumberFormat="1" applyFont="1" applyFill="1" applyBorder="1" applyAlignment="1" applyProtection="1">
      <alignment horizontal="center" vertical="center"/>
    </xf>
    <xf numFmtId="0" fontId="165" fillId="0" borderId="4" xfId="0" applyFont="1" applyFill="1" applyBorder="1" applyAlignment="1" applyProtection="1">
      <alignment horizontal="left" vertical="center"/>
    </xf>
    <xf numFmtId="3" fontId="165" fillId="0" borderId="26" xfId="0" applyNumberFormat="1" applyFont="1" applyFill="1" applyBorder="1" applyAlignment="1" applyProtection="1">
      <alignment vertical="center"/>
    </xf>
    <xf numFmtId="0" fontId="165" fillId="0" borderId="25" xfId="0" applyFont="1" applyFill="1" applyBorder="1" applyAlignment="1" applyProtection="1">
      <alignment horizontal="left" vertical="center"/>
    </xf>
    <xf numFmtId="0" fontId="165" fillId="0" borderId="26" xfId="0" applyFont="1" applyFill="1" applyBorder="1" applyAlignment="1" applyProtection="1">
      <alignment horizontal="center" vertical="center"/>
    </xf>
    <xf numFmtId="0" fontId="165" fillId="0" borderId="26" xfId="0" applyFont="1" applyFill="1" applyBorder="1" applyAlignment="1" applyProtection="1">
      <alignment vertical="center"/>
    </xf>
    <xf numFmtId="0" fontId="49" fillId="31" borderId="0" xfId="0" applyFont="1" applyFill="1" applyAlignment="1" applyProtection="1">
      <alignment horizontal="center" vertical="center"/>
    </xf>
    <xf numFmtId="2" fontId="79" fillId="31" borderId="0" xfId="0" applyNumberFormat="1" applyFont="1" applyFill="1" applyAlignment="1" applyProtection="1">
      <alignment horizontal="center" vertical="center"/>
    </xf>
    <xf numFmtId="0" fontId="108" fillId="31" borderId="4" xfId="0" applyFont="1" applyFill="1" applyBorder="1" applyAlignment="1">
      <alignment horizontal="center" vertical="center"/>
    </xf>
    <xf numFmtId="0" fontId="49" fillId="0" borderId="26" xfId="51" applyFont="1" applyBorder="1" applyAlignment="1" applyProtection="1">
      <alignment vertical="center"/>
    </xf>
    <xf numFmtId="0" fontId="42" fillId="0" borderId="18" xfId="51" applyFont="1" applyFill="1" applyBorder="1" applyAlignment="1">
      <alignment vertical="center"/>
    </xf>
    <xf numFmtId="0" fontId="151" fillId="25" borderId="4" xfId="0" applyFont="1" applyFill="1" applyBorder="1" applyAlignment="1">
      <alignment horizontal="center"/>
    </xf>
    <xf numFmtId="0" fontId="44" fillId="47" borderId="4" xfId="0" applyFont="1" applyFill="1" applyBorder="1" applyAlignment="1" applyProtection="1">
      <alignment horizontal="center" vertical="center"/>
    </xf>
    <xf numFmtId="3" fontId="44" fillId="47" borderId="1" xfId="0" applyNumberFormat="1" applyFont="1" applyFill="1" applyBorder="1" applyAlignment="1" applyProtection="1">
      <alignment horizontal="center" vertical="center"/>
    </xf>
    <xf numFmtId="43" fontId="44" fillId="0" borderId="4" xfId="24" applyFont="1" applyFill="1" applyBorder="1" applyProtection="1"/>
    <xf numFmtId="43" fontId="34" fillId="47" borderId="4" xfId="24" applyNumberFormat="1" applyFont="1" applyFill="1" applyBorder="1" applyAlignment="1">
      <alignment horizontal="centerContinuous"/>
    </xf>
    <xf numFmtId="43" fontId="34" fillId="47" borderId="4" xfId="24" applyNumberFormat="1" applyFont="1" applyFill="1" applyBorder="1" applyAlignment="1">
      <alignment horizontal="center"/>
    </xf>
    <xf numFmtId="43" fontId="42" fillId="31" borderId="0" xfId="24" applyFont="1" applyFill="1" applyBorder="1" applyAlignment="1">
      <alignment horizontal="center"/>
    </xf>
    <xf numFmtId="43" fontId="42" fillId="31" borderId="3" xfId="24" applyFont="1" applyFill="1" applyBorder="1" applyAlignment="1">
      <alignment horizontal="center"/>
    </xf>
    <xf numFmtId="43" fontId="42" fillId="0" borderId="41" xfId="79" applyFont="1" applyFill="1" applyBorder="1" applyAlignment="1">
      <alignment horizontal="center"/>
    </xf>
    <xf numFmtId="0" fontId="44" fillId="47" borderId="4" xfId="51" applyFont="1" applyFill="1" applyBorder="1" applyAlignment="1">
      <alignment horizontal="center"/>
    </xf>
    <xf numFmtId="0" fontId="44" fillId="47" borderId="18" xfId="51" applyFont="1" applyFill="1" applyBorder="1" applyAlignment="1">
      <alignment horizontal="center"/>
    </xf>
    <xf numFmtId="199" fontId="166" fillId="31" borderId="0" xfId="51" applyNumberFormat="1" applyFont="1" applyFill="1" applyBorder="1" applyAlignment="1" applyProtection="1">
      <alignment horizontal="center"/>
      <protection hidden="1"/>
    </xf>
    <xf numFmtId="0" fontId="166" fillId="31" borderId="18" xfId="51" applyFont="1" applyFill="1" applyBorder="1" applyAlignment="1" applyProtection="1">
      <alignment horizontal="center"/>
      <protection hidden="1"/>
    </xf>
    <xf numFmtId="187" fontId="42" fillId="48" borderId="59" xfId="0" applyNumberFormat="1" applyFont="1" applyFill="1" applyBorder="1" applyAlignment="1" applyProtection="1">
      <alignment vertical="center"/>
    </xf>
    <xf numFmtId="39" fontId="49" fillId="48" borderId="0" xfId="0" applyNumberFormat="1" applyFont="1" applyFill="1" applyAlignment="1" applyProtection="1">
      <alignment vertical="center"/>
    </xf>
    <xf numFmtId="4" fontId="78" fillId="48" borderId="0" xfId="0" applyNumberFormat="1" applyFont="1" applyFill="1" applyAlignment="1" applyProtection="1">
      <alignment vertical="center"/>
    </xf>
    <xf numFmtId="2" fontId="49" fillId="48" borderId="0" xfId="0" applyNumberFormat="1" applyFont="1" applyFill="1" applyBorder="1" applyAlignment="1" applyProtection="1">
      <alignment vertical="center"/>
    </xf>
    <xf numFmtId="0" fontId="49" fillId="48" borderId="0" xfId="0" applyFont="1" applyFill="1" applyAlignment="1" applyProtection="1">
      <alignment vertical="center"/>
      <protection locked="0"/>
    </xf>
    <xf numFmtId="3" fontId="78" fillId="48" borderId="0" xfId="0" quotePrefix="1" applyNumberFormat="1" applyFont="1" applyFill="1" applyAlignment="1" applyProtection="1">
      <alignment horizontal="right" vertical="center"/>
    </xf>
    <xf numFmtId="4" fontId="78" fillId="48" borderId="0" xfId="0" quotePrefix="1" applyNumberFormat="1" applyFont="1" applyFill="1" applyAlignment="1" applyProtection="1">
      <alignment horizontal="right" vertical="center"/>
    </xf>
    <xf numFmtId="0" fontId="49" fillId="48" borderId="0" xfId="0" applyFont="1" applyFill="1" applyAlignment="1" applyProtection="1">
      <alignment vertical="center"/>
    </xf>
    <xf numFmtId="198" fontId="49" fillId="48" borderId="0" xfId="0" applyNumberFormat="1" applyFont="1" applyFill="1" applyAlignment="1" applyProtection="1">
      <alignment vertical="center"/>
    </xf>
    <xf numFmtId="2" fontId="49" fillId="48" borderId="0" xfId="0" quotePrefix="1" applyNumberFormat="1" applyFont="1" applyFill="1" applyAlignment="1" applyProtection="1">
      <alignment vertical="center"/>
    </xf>
    <xf numFmtId="43" fontId="49" fillId="48" borderId="0" xfId="0" applyNumberFormat="1" applyFont="1" applyFill="1" applyAlignment="1" applyProtection="1">
      <alignment vertical="center"/>
      <protection locked="0"/>
    </xf>
    <xf numFmtId="43" fontId="49" fillId="48" borderId="0" xfId="0" quotePrefix="1" applyNumberFormat="1" applyFont="1" applyFill="1" applyAlignment="1" applyProtection="1">
      <alignment horizontal="right" vertical="center"/>
      <protection locked="0"/>
    </xf>
    <xf numFmtId="4" fontId="49" fillId="48" borderId="0" xfId="0" applyNumberFormat="1" applyFont="1" applyFill="1" applyAlignment="1">
      <alignment vertical="center"/>
    </xf>
    <xf numFmtId="198" fontId="49" fillId="48" borderId="0" xfId="24" applyNumberFormat="1" applyFont="1" applyFill="1" applyAlignment="1" applyProtection="1">
      <alignment vertical="center"/>
      <protection locked="0"/>
    </xf>
    <xf numFmtId="0" fontId="101" fillId="0" borderId="0" xfId="0" applyFont="1" applyFill="1" applyAlignment="1" applyProtection="1">
      <alignment vertical="center"/>
    </xf>
    <xf numFmtId="0" fontId="49" fillId="33" borderId="0" xfId="0" applyFont="1" applyFill="1" applyAlignment="1" applyProtection="1">
      <alignment horizontal="center" vertical="center"/>
    </xf>
    <xf numFmtId="39" fontId="159" fillId="48" borderId="0" xfId="0" applyNumberFormat="1" applyFont="1" applyFill="1" applyAlignment="1" applyProtection="1">
      <alignment vertical="center"/>
    </xf>
    <xf numFmtId="224" fontId="83" fillId="0" borderId="61" xfId="0" applyNumberFormat="1" applyFont="1" applyFill="1" applyBorder="1" applyAlignment="1" applyProtection="1">
      <alignment horizontal="left"/>
    </xf>
    <xf numFmtId="43" fontId="42" fillId="48" borderId="59" xfId="0" applyNumberFormat="1" applyFont="1" applyFill="1" applyBorder="1" applyAlignment="1" applyProtection="1">
      <alignment vertical="center"/>
    </xf>
    <xf numFmtId="187" fontId="42" fillId="33" borderId="54" xfId="0" applyNumberFormat="1" applyFont="1" applyFill="1" applyBorder="1" applyAlignment="1" applyProtection="1">
      <alignment vertical="center"/>
    </xf>
    <xf numFmtId="43" fontId="42" fillId="48" borderId="54" xfId="0" applyNumberFormat="1" applyFont="1" applyFill="1" applyBorder="1" applyAlignment="1" applyProtection="1">
      <alignment vertical="center"/>
    </xf>
    <xf numFmtId="41" fontId="162" fillId="0" borderId="5" xfId="0" applyNumberFormat="1" applyFont="1" applyFill="1" applyBorder="1" applyAlignment="1" applyProtection="1">
      <alignment vertical="center"/>
    </xf>
    <xf numFmtId="41" fontId="162" fillId="41" borderId="54" xfId="0" applyNumberFormat="1" applyFont="1" applyFill="1" applyBorder="1" applyAlignment="1" applyProtection="1">
      <alignment horizontal="right" vertical="center"/>
    </xf>
    <xf numFmtId="41" fontId="162" fillId="41" borderId="59" xfId="0" applyNumberFormat="1" applyFont="1" applyFill="1" applyBorder="1" applyAlignment="1" applyProtection="1">
      <alignment horizontal="right" vertical="center"/>
    </xf>
    <xf numFmtId="41" fontId="162" fillId="41" borderId="59" xfId="0" applyNumberFormat="1" applyFont="1" applyFill="1" applyBorder="1" applyAlignment="1" applyProtection="1">
      <alignment horizontal="center" vertical="center"/>
    </xf>
    <xf numFmtId="41" fontId="162" fillId="41" borderId="5" xfId="0" applyNumberFormat="1" applyFont="1" applyFill="1" applyBorder="1" applyAlignment="1" applyProtection="1">
      <alignment horizontal="right" vertical="center"/>
    </xf>
    <xf numFmtId="4" fontId="49" fillId="48" borderId="0" xfId="0" quotePrefix="1" applyNumberFormat="1" applyFont="1" applyFill="1" applyAlignment="1" applyProtection="1">
      <alignment vertical="center"/>
    </xf>
    <xf numFmtId="4" fontId="49" fillId="48" borderId="0" xfId="0" applyNumberFormat="1" applyFont="1" applyFill="1" applyAlignment="1" applyProtection="1">
      <alignment vertical="center"/>
    </xf>
    <xf numFmtId="2" fontId="49" fillId="0" borderId="0" xfId="0" applyNumberFormat="1" applyFont="1" applyFill="1" applyAlignment="1" applyProtection="1">
      <alignment horizontal="center" vertical="center"/>
      <protection locked="0"/>
    </xf>
    <xf numFmtId="2" fontId="49" fillId="33" borderId="0" xfId="0" applyNumberFormat="1" applyFont="1" applyFill="1" applyAlignment="1" applyProtection="1">
      <alignment horizontal="center" vertical="center"/>
      <protection locked="0"/>
    </xf>
    <xf numFmtId="39" fontId="42" fillId="0" borderId="0" xfId="0" applyNumberFormat="1" applyFont="1" applyAlignment="1">
      <alignment vertical="center"/>
    </xf>
    <xf numFmtId="2" fontId="49" fillId="33" borderId="0" xfId="0" applyNumberFormat="1" applyFont="1" applyFill="1" applyAlignment="1" applyProtection="1">
      <alignment vertical="center"/>
    </xf>
    <xf numFmtId="198" fontId="160" fillId="34" borderId="0" xfId="24" applyNumberFormat="1" applyFont="1" applyFill="1" applyAlignment="1" applyProtection="1">
      <alignment vertical="center"/>
    </xf>
    <xf numFmtId="196" fontId="49" fillId="48" borderId="0" xfId="0" applyNumberFormat="1" applyFont="1" applyFill="1" applyAlignment="1" applyProtection="1">
      <alignment vertical="center"/>
    </xf>
    <xf numFmtId="0" fontId="42" fillId="0" borderId="0" xfId="51" applyFont="1" applyAlignment="1">
      <alignment horizontal="center"/>
    </xf>
    <xf numFmtId="0" fontId="49" fillId="0" borderId="0" xfId="0" applyFont="1" applyAlignment="1" applyProtection="1">
      <alignment vertical="center"/>
    </xf>
    <xf numFmtId="0" fontId="86" fillId="0" borderId="0" xfId="51" applyFont="1" applyAlignment="1" applyProtection="1">
      <alignment horizontal="center" vertical="center"/>
      <protection hidden="1"/>
    </xf>
    <xf numFmtId="0" fontId="49" fillId="0" borderId="0" xfId="51" applyFont="1" applyAlignment="1" applyProtection="1">
      <alignment horizontal="center" vertical="center"/>
    </xf>
    <xf numFmtId="43" fontId="86" fillId="0" borderId="0" xfId="24" applyFont="1" applyAlignment="1" applyProtection="1">
      <alignment vertical="center"/>
      <protection hidden="1"/>
    </xf>
    <xf numFmtId="0" fontId="67" fillId="0" borderId="0" xfId="0" applyFont="1" applyAlignment="1" applyProtection="1">
      <alignment horizontal="center" vertical="center"/>
      <protection hidden="1"/>
    </xf>
    <xf numFmtId="39" fontId="49" fillId="48" borderId="0" xfId="0" applyNumberFormat="1" applyFont="1" applyFill="1" applyAlignment="1" applyProtection="1">
      <alignment vertical="center"/>
      <protection locked="0"/>
    </xf>
    <xf numFmtId="43" fontId="49" fillId="48" borderId="0" xfId="0" applyNumberFormat="1" applyFont="1" applyFill="1" applyBorder="1" applyAlignment="1" applyProtection="1">
      <alignment vertical="center"/>
    </xf>
    <xf numFmtId="200" fontId="86" fillId="48" borderId="0" xfId="24" applyNumberFormat="1" applyFont="1" applyFill="1" applyAlignment="1" applyProtection="1">
      <alignment vertical="center"/>
      <protection hidden="1"/>
    </xf>
    <xf numFmtId="43" fontId="49" fillId="48" borderId="0" xfId="24" applyFont="1" applyFill="1" applyAlignment="1" applyProtection="1">
      <alignment vertical="center"/>
      <protection hidden="1"/>
    </xf>
    <xf numFmtId="39" fontId="49" fillId="48" borderId="0" xfId="51" applyNumberFormat="1" applyFont="1" applyFill="1" applyAlignment="1" applyProtection="1">
      <alignment vertical="center"/>
    </xf>
    <xf numFmtId="39" fontId="49" fillId="48" borderId="0" xfId="51" applyNumberFormat="1" applyFont="1" applyFill="1" applyAlignment="1" applyProtection="1">
      <alignment horizontal="right"/>
    </xf>
    <xf numFmtId="39" fontId="49" fillId="48" borderId="0" xfId="51" applyNumberFormat="1" applyFont="1" applyFill="1" applyAlignment="1" applyProtection="1">
      <alignment horizontal="center"/>
    </xf>
    <xf numFmtId="197" fontId="49" fillId="48" borderId="0" xfId="51" applyNumberFormat="1" applyFont="1" applyFill="1" applyAlignment="1" applyProtection="1">
      <alignment horizontal="center"/>
    </xf>
    <xf numFmtId="39" fontId="49" fillId="48" borderId="0" xfId="51" applyNumberFormat="1" applyFont="1" applyFill="1" applyAlignment="1" applyProtection="1">
      <alignment horizontal="center" vertical="center"/>
    </xf>
    <xf numFmtId="189" fontId="157" fillId="0" borderId="4" xfId="51" applyNumberFormat="1" applyFont="1" applyFill="1" applyBorder="1" applyAlignment="1" applyProtection="1">
      <alignment horizontal="center" vertical="center"/>
    </xf>
    <xf numFmtId="0" fontId="156" fillId="24" borderId="73" xfId="51" applyFont="1" applyFill="1" applyBorder="1" applyAlignment="1" applyProtection="1">
      <alignment vertical="center"/>
    </xf>
    <xf numFmtId="0" fontId="156" fillId="24" borderId="77" xfId="51" applyFont="1" applyFill="1" applyBorder="1" applyAlignment="1" applyProtection="1">
      <alignment vertical="center"/>
    </xf>
    <xf numFmtId="0" fontId="156" fillId="24" borderId="83" xfId="51" applyFont="1" applyFill="1" applyBorder="1" applyAlignment="1" applyProtection="1">
      <alignment vertical="center"/>
    </xf>
    <xf numFmtId="0" fontId="191" fillId="24" borderId="47" xfId="51" applyFont="1" applyFill="1" applyBorder="1" applyAlignment="1" applyProtection="1">
      <alignment horizontal="center" vertical="center"/>
    </xf>
    <xf numFmtId="0" fontId="156" fillId="24" borderId="48" xfId="51" applyFont="1" applyFill="1" applyBorder="1" applyAlignment="1">
      <alignment horizontal="center" vertical="center"/>
    </xf>
    <xf numFmtId="0" fontId="156" fillId="24" borderId="45" xfId="51" applyFont="1" applyFill="1" applyBorder="1" applyAlignment="1" applyProtection="1">
      <alignment horizontal="center" vertical="center"/>
    </xf>
    <xf numFmtId="2" fontId="156" fillId="24" borderId="47" xfId="51" applyNumberFormat="1" applyFont="1" applyFill="1" applyBorder="1" applyAlignment="1" applyProtection="1">
      <alignment horizontal="center" vertical="center"/>
    </xf>
    <xf numFmtId="2" fontId="156" fillId="24" borderId="48" xfId="51" applyNumberFormat="1" applyFont="1" applyFill="1" applyBorder="1" applyAlignment="1" applyProtection="1">
      <alignment horizontal="center" vertical="center"/>
    </xf>
    <xf numFmtId="0" fontId="156" fillId="24" borderId="48" xfId="51" applyFont="1" applyFill="1" applyBorder="1" applyAlignment="1" applyProtection="1">
      <alignment horizontal="center" vertical="center"/>
    </xf>
    <xf numFmtId="2" fontId="157" fillId="0" borderId="4" xfId="51" applyNumberFormat="1" applyFont="1" applyFill="1" applyBorder="1" applyAlignment="1">
      <alignment horizontal="center" vertical="center"/>
    </xf>
    <xf numFmtId="4" fontId="157" fillId="0" borderId="4" xfId="51" applyNumberFormat="1" applyFont="1" applyFill="1" applyBorder="1" applyAlignment="1" applyProtection="1">
      <alignment horizontal="center" vertical="center"/>
    </xf>
    <xf numFmtId="2" fontId="49" fillId="0" borderId="0" xfId="51" applyNumberFormat="1" applyFont="1" applyFill="1" applyAlignment="1">
      <alignment vertical="center"/>
    </xf>
    <xf numFmtId="43" fontId="86" fillId="48" borderId="0" xfId="24" applyNumberFormat="1" applyFont="1" applyFill="1" applyAlignment="1" applyProtection="1">
      <alignment vertical="center"/>
      <protection hidden="1"/>
    </xf>
    <xf numFmtId="43" fontId="49" fillId="48" borderId="0" xfId="24" applyFont="1" applyFill="1" applyAlignment="1">
      <alignment vertical="center"/>
    </xf>
    <xf numFmtId="43" fontId="49" fillId="48" borderId="0" xfId="77" applyFont="1" applyFill="1" applyAlignment="1">
      <alignment vertical="center"/>
    </xf>
    <xf numFmtId="2" fontId="49" fillId="0" borderId="48" xfId="51" applyNumberFormat="1" applyFont="1" applyBorder="1" applyAlignment="1">
      <alignment horizontal="center" vertical="center"/>
    </xf>
    <xf numFmtId="189" fontId="49" fillId="0" borderId="0" xfId="51" applyNumberFormat="1" applyFont="1" applyAlignment="1">
      <alignment vertical="center"/>
    </xf>
    <xf numFmtId="43" fontId="49" fillId="0" borderId="10" xfId="77" applyFont="1" applyBorder="1" applyAlignment="1">
      <alignment horizontal="center" vertical="center"/>
    </xf>
    <xf numFmtId="43" fontId="86" fillId="48" borderId="0" xfId="24" applyFont="1" applyFill="1" applyAlignment="1" applyProtection="1">
      <alignment vertical="center"/>
      <protection hidden="1"/>
    </xf>
    <xf numFmtId="231" fontId="49" fillId="0" borderId="0" xfId="0" applyNumberFormat="1" applyFont="1" applyAlignment="1">
      <alignment vertical="center"/>
    </xf>
    <xf numFmtId="43" fontId="49" fillId="48" borderId="0" xfId="24" applyFont="1" applyFill="1" applyBorder="1" applyAlignment="1" applyProtection="1">
      <alignment vertical="center"/>
      <protection hidden="1"/>
    </xf>
    <xf numFmtId="43" fontId="49" fillId="48" borderId="0" xfId="24" applyNumberFormat="1" applyFont="1" applyFill="1" applyBorder="1" applyAlignment="1" applyProtection="1">
      <alignment vertical="center"/>
      <protection hidden="1"/>
    </xf>
    <xf numFmtId="187" fontId="42" fillId="48" borderId="60" xfId="0" applyNumberFormat="1" applyFont="1" applyFill="1" applyBorder="1" applyAlignment="1" applyProtection="1">
      <alignment vertical="center"/>
    </xf>
    <xf numFmtId="201" fontId="49" fillId="48" borderId="0" xfId="0" applyNumberFormat="1" applyFont="1" applyFill="1" applyBorder="1" applyAlignment="1">
      <alignment vertical="center"/>
    </xf>
    <xf numFmtId="43" fontId="49" fillId="48" borderId="0" xfId="0" applyNumberFormat="1" applyFont="1" applyFill="1" applyBorder="1" applyAlignment="1">
      <alignment vertical="center"/>
    </xf>
    <xf numFmtId="39" fontId="49" fillId="48" borderId="0" xfId="51" applyNumberFormat="1" applyFont="1" applyFill="1" applyProtection="1"/>
    <xf numFmtId="197" fontId="49" fillId="48" borderId="0" xfId="51" applyNumberFormat="1" applyFont="1" applyFill="1" applyProtection="1"/>
    <xf numFmtId="39" fontId="49" fillId="48" borderId="0" xfId="51" applyNumberFormat="1" applyFont="1" applyFill="1" applyAlignment="1" applyProtection="1">
      <alignment horizontal="right" vertical="center"/>
    </xf>
    <xf numFmtId="43" fontId="49" fillId="0" borderId="0" xfId="24" applyNumberFormat="1" applyFont="1" applyFill="1" applyBorder="1" applyAlignment="1">
      <alignment horizontal="centerContinuous" vertical="center"/>
    </xf>
    <xf numFmtId="0" fontId="42" fillId="0" borderId="4" xfId="0" applyFont="1" applyBorder="1" applyAlignment="1">
      <alignment horizontal="center"/>
    </xf>
    <xf numFmtId="1" fontId="35" fillId="0" borderId="32" xfId="54" quotePrefix="1" applyNumberFormat="1" applyFont="1" applyBorder="1" applyAlignment="1">
      <alignment horizontal="left"/>
    </xf>
    <xf numFmtId="41" fontId="42" fillId="0" borderId="54" xfId="0" applyNumberFormat="1" applyFont="1" applyFill="1" applyBorder="1" applyAlignment="1" applyProtection="1">
      <alignment vertical="center"/>
    </xf>
    <xf numFmtId="43" fontId="49" fillId="0" borderId="59" xfId="0" applyNumberFormat="1" applyFont="1" applyBorder="1" applyAlignment="1" applyProtection="1">
      <alignment vertical="center"/>
    </xf>
    <xf numFmtId="221" fontId="162" fillId="41" borderId="54" xfId="0" applyNumberFormat="1" applyFont="1" applyFill="1" applyBorder="1" applyAlignment="1" applyProtection="1">
      <alignment vertical="center"/>
    </xf>
    <xf numFmtId="4" fontId="42" fillId="0" borderId="0" xfId="0" applyNumberFormat="1" applyFont="1" applyProtection="1"/>
    <xf numFmtId="0" fontId="42" fillId="0" borderId="5" xfId="0" applyFont="1" applyFill="1" applyBorder="1" applyAlignment="1" applyProtection="1">
      <alignment horizontal="center"/>
    </xf>
    <xf numFmtId="200" fontId="42" fillId="0" borderId="5" xfId="0" applyNumberFormat="1" applyFont="1" applyBorder="1" applyAlignment="1">
      <alignment vertical="center"/>
    </xf>
    <xf numFmtId="43" fontId="45" fillId="0" borderId="10" xfId="0" applyNumberFormat="1" applyFont="1" applyBorder="1"/>
    <xf numFmtId="0" fontId="34" fillId="35" borderId="4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35" borderId="4" xfId="0" applyFont="1" applyFill="1" applyBorder="1" applyAlignment="1">
      <alignment horizontal="center"/>
    </xf>
    <xf numFmtId="0" fontId="34" fillId="35" borderId="4" xfId="0" applyFont="1" applyFill="1" applyBorder="1" applyAlignment="1">
      <alignment horizontal="center" vertical="center" wrapText="1"/>
    </xf>
    <xf numFmtId="2" fontId="35" fillId="0" borderId="0" xfId="0" applyNumberFormat="1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4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horizontal="center" vertical="center"/>
    </xf>
    <xf numFmtId="1" fontId="35" fillId="0" borderId="4" xfId="0" applyNumberFormat="1" applyFont="1" applyBorder="1" applyAlignment="1">
      <alignment horizontal="center" vertical="center"/>
    </xf>
    <xf numFmtId="0" fontId="150" fillId="25" borderId="0" xfId="0" applyFont="1" applyFill="1" applyAlignment="1">
      <alignment horizontal="center"/>
    </xf>
    <xf numFmtId="0" fontId="49" fillId="0" borderId="61" xfId="0" applyFont="1" applyFill="1" applyBorder="1" applyAlignment="1" applyProtection="1">
      <alignment horizontal="left" vertical="center"/>
    </xf>
    <xf numFmtId="0" fontId="49" fillId="0" borderId="0" xfId="0" applyFont="1" applyAlignment="1" applyProtection="1">
      <alignment vertical="center"/>
    </xf>
    <xf numFmtId="0" fontId="49" fillId="0" borderId="0" xfId="51" applyFont="1" applyAlignment="1" applyProtection="1">
      <alignment horizontal="center" vertical="center"/>
    </xf>
    <xf numFmtId="0" fontId="67" fillId="0" borderId="0" xfId="0" applyFont="1" applyAlignment="1" applyProtection="1">
      <alignment horizontal="center" vertical="center"/>
      <protection hidden="1"/>
    </xf>
    <xf numFmtId="1" fontId="35" fillId="0" borderId="4" xfId="0" applyNumberFormat="1" applyFont="1" applyBorder="1" applyAlignment="1">
      <alignment horizontal="center"/>
    </xf>
    <xf numFmtId="2" fontId="35" fillId="0" borderId="41" xfId="0" applyNumberFormat="1" applyFont="1" applyBorder="1" applyAlignment="1">
      <alignment horizontal="center"/>
    </xf>
    <xf numFmtId="0" fontId="44" fillId="0" borderId="0" xfId="0" applyFont="1" applyBorder="1" applyAlignment="1">
      <alignment horizontal="center" vertical="center"/>
    </xf>
    <xf numFmtId="1" fontId="35" fillId="0" borderId="0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189" fontId="42" fillId="0" borderId="4" xfId="0" applyNumberFormat="1" applyFont="1" applyBorder="1" applyAlignment="1">
      <alignment horizontal="center"/>
    </xf>
    <xf numFmtId="2" fontId="34" fillId="48" borderId="0" xfId="0" applyNumberFormat="1" applyFont="1" applyFill="1" applyAlignment="1">
      <alignment horizontal="center"/>
    </xf>
    <xf numFmtId="0" fontId="150" fillId="43" borderId="4" xfId="0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0" fontId="34" fillId="35" borderId="10" xfId="0" applyFont="1" applyFill="1" applyBorder="1" applyAlignment="1">
      <alignment horizontal="center" vertical="center"/>
    </xf>
    <xf numFmtId="0" fontId="190" fillId="35" borderId="4" xfId="0" applyFont="1" applyFill="1" applyBorder="1" applyAlignment="1">
      <alignment horizontal="center" vertical="center"/>
    </xf>
    <xf numFmtId="0" fontId="44" fillId="35" borderId="4" xfId="0" applyFont="1" applyFill="1" applyBorder="1" applyAlignment="1">
      <alignment horizontal="center" vertical="center"/>
    </xf>
    <xf numFmtId="1" fontId="35" fillId="48" borderId="4" xfId="0" applyNumberFormat="1" applyFont="1" applyFill="1" applyBorder="1" applyAlignment="1">
      <alignment horizontal="center"/>
    </xf>
    <xf numFmtId="2" fontId="35" fillId="48" borderId="4" xfId="0" applyNumberFormat="1" applyFont="1" applyFill="1" applyBorder="1" applyAlignment="1">
      <alignment horizontal="center"/>
    </xf>
    <xf numFmtId="0" fontId="35" fillId="48" borderId="4" xfId="0" applyFont="1" applyFill="1" applyBorder="1" applyAlignment="1">
      <alignment horizontal="center"/>
    </xf>
    <xf numFmtId="0" fontId="34" fillId="35" borderId="41" xfId="0" applyFont="1" applyFill="1" applyBorder="1" applyAlignment="1">
      <alignment horizontal="center"/>
    </xf>
    <xf numFmtId="0" fontId="34" fillId="0" borderId="4" xfId="0" applyFont="1" applyFill="1" applyBorder="1" applyAlignment="1">
      <alignment horizontal="center" vertical="center"/>
    </xf>
    <xf numFmtId="0" fontId="0" fillId="0" borderId="0" xfId="0" applyFill="1"/>
    <xf numFmtId="2" fontId="34" fillId="0" borderId="0" xfId="0" applyNumberFormat="1" applyFont="1" applyFill="1" applyBorder="1" applyAlignment="1">
      <alignment horizontal="center"/>
    </xf>
    <xf numFmtId="0" fontId="150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189" fontId="34" fillId="0" borderId="0" xfId="0" applyNumberFormat="1" applyFont="1" applyFill="1" applyBorder="1" applyAlignment="1">
      <alignment horizontal="center"/>
    </xf>
    <xf numFmtId="0" fontId="35" fillId="0" borderId="0" xfId="0" applyFont="1" applyFill="1" applyAlignment="1"/>
    <xf numFmtId="0" fontId="35" fillId="0" borderId="0" xfId="0" applyFont="1" applyFill="1" applyAlignment="1">
      <alignment horizontal="center"/>
    </xf>
    <xf numFmtId="0" fontId="49" fillId="0" borderId="0" xfId="0" applyFont="1" applyAlignment="1" applyProtection="1">
      <alignment vertical="center"/>
    </xf>
    <xf numFmtId="0" fontId="49" fillId="0" borderId="0" xfId="51" applyFont="1" applyAlignment="1" applyProtection="1">
      <alignment horizontal="center" vertical="center"/>
    </xf>
    <xf numFmtId="0" fontId="67" fillId="0" borderId="0" xfId="0" applyFont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vertical="center"/>
    </xf>
    <xf numFmtId="0" fontId="86" fillId="0" borderId="0" xfId="51" applyFont="1" applyAlignment="1" applyProtection="1">
      <alignment horizontal="center" vertical="center"/>
      <protection hidden="1"/>
    </xf>
    <xf numFmtId="0" fontId="49" fillId="0" borderId="0" xfId="51" applyFont="1" applyAlignment="1" applyProtection="1">
      <alignment horizontal="center" vertical="center"/>
    </xf>
    <xf numFmtId="43" fontId="86" fillId="0" borderId="0" xfId="24" applyFont="1" applyAlignment="1" applyProtection="1">
      <alignment vertical="center"/>
      <protection hidden="1"/>
    </xf>
    <xf numFmtId="0" fontId="67" fillId="0" borderId="0" xfId="0" applyFont="1" applyAlignment="1" applyProtection="1">
      <alignment horizontal="center" vertical="center"/>
      <protection hidden="1"/>
    </xf>
    <xf numFmtId="0" fontId="0" fillId="0" borderId="59" xfId="0" applyBorder="1"/>
    <xf numFmtId="0" fontId="0" fillId="0" borderId="64" xfId="0" applyBorder="1"/>
    <xf numFmtId="198" fontId="0" fillId="0" borderId="59" xfId="24" applyNumberFormat="1" applyFont="1" applyBorder="1"/>
    <xf numFmtId="2" fontId="49" fillId="0" borderId="0" xfId="0" applyNumberFormat="1" applyFont="1" applyAlignment="1" applyProtection="1">
      <alignment vertical="center"/>
    </xf>
    <xf numFmtId="0" fontId="149" fillId="0" borderId="0" xfId="51" applyFont="1" applyBorder="1" applyAlignment="1" applyProtection="1">
      <alignment vertical="center"/>
      <protection hidden="1"/>
    </xf>
    <xf numFmtId="0" fontId="120" fillId="0" borderId="0" xfId="0" applyFont="1" applyBorder="1" applyAlignment="1">
      <alignment horizontal="center"/>
    </xf>
    <xf numFmtId="0" fontId="121" fillId="0" borderId="29" xfId="0" applyFont="1" applyBorder="1" applyAlignment="1">
      <alignment horizontal="center" vertical="center"/>
    </xf>
    <xf numFmtId="0" fontId="121" fillId="0" borderId="0" xfId="0" applyFont="1" applyBorder="1" applyAlignment="1">
      <alignment horizontal="center" vertical="center"/>
    </xf>
    <xf numFmtId="0" fontId="121" fillId="0" borderId="30" xfId="0" applyFont="1" applyBorder="1" applyAlignment="1">
      <alignment horizontal="center" vertical="center"/>
    </xf>
    <xf numFmtId="2" fontId="122" fillId="0" borderId="29" xfId="0" applyNumberFormat="1" applyFont="1" applyBorder="1" applyAlignment="1">
      <alignment horizontal="center" vertical="center" wrapText="1"/>
    </xf>
    <xf numFmtId="2" fontId="122" fillId="0" borderId="0" xfId="0" applyNumberFormat="1" applyFont="1" applyBorder="1" applyAlignment="1">
      <alignment horizontal="center" vertical="center" wrapText="1"/>
    </xf>
    <xf numFmtId="2" fontId="122" fillId="0" borderId="30" xfId="0" applyNumberFormat="1" applyFont="1" applyBorder="1" applyAlignment="1">
      <alignment horizontal="center" vertical="center" wrapText="1"/>
    </xf>
    <xf numFmtId="0" fontId="121" fillId="0" borderId="0" xfId="0" applyFont="1" applyBorder="1" applyAlignment="1">
      <alignment horizontal="center"/>
    </xf>
    <xf numFmtId="198" fontId="123" fillId="0" borderId="0" xfId="24" applyNumberFormat="1" applyFont="1" applyBorder="1" applyAlignment="1">
      <alignment horizontal="center"/>
    </xf>
    <xf numFmtId="2" fontId="123" fillId="0" borderId="0" xfId="0" applyNumberFormat="1" applyFont="1" applyAlignment="1">
      <alignment horizontal="center"/>
    </xf>
    <xf numFmtId="0" fontId="34" fillId="47" borderId="1" xfId="0" applyFont="1" applyFill="1" applyBorder="1" applyAlignment="1">
      <alignment horizontal="center" vertical="center"/>
    </xf>
    <xf numFmtId="0" fontId="34" fillId="47" borderId="41" xfId="0" applyFont="1" applyFill="1" applyBorder="1" applyAlignment="1">
      <alignment horizontal="center" vertical="center"/>
    </xf>
    <xf numFmtId="0" fontId="40" fillId="47" borderId="1" xfId="0" applyFont="1" applyFill="1" applyBorder="1" applyAlignment="1">
      <alignment horizontal="center" vertical="center"/>
    </xf>
    <xf numFmtId="0" fontId="40" fillId="47" borderId="41" xfId="0" applyFont="1" applyFill="1" applyBorder="1" applyAlignment="1">
      <alignment horizontal="center" vertical="center"/>
    </xf>
    <xf numFmtId="0" fontId="164" fillId="31" borderId="1" xfId="0" applyFont="1" applyFill="1" applyBorder="1" applyAlignment="1" applyProtection="1">
      <alignment horizontal="center" vertical="center"/>
    </xf>
    <xf numFmtId="0" fontId="180" fillId="31" borderId="3" xfId="0" applyFont="1" applyFill="1" applyBorder="1"/>
    <xf numFmtId="0" fontId="180" fillId="31" borderId="41" xfId="0" applyFont="1" applyFill="1" applyBorder="1"/>
    <xf numFmtId="0" fontId="34" fillId="47" borderId="1" xfId="0" applyFont="1" applyFill="1" applyBorder="1" applyAlignment="1" applyProtection="1">
      <alignment horizontal="center" vertical="center"/>
    </xf>
    <xf numFmtId="0" fontId="34" fillId="47" borderId="3" xfId="0" applyFont="1" applyFill="1" applyBorder="1" applyAlignment="1" applyProtection="1">
      <alignment horizontal="center" vertical="center"/>
    </xf>
    <xf numFmtId="0" fontId="34" fillId="47" borderId="41" xfId="0" applyFont="1" applyFill="1" applyBorder="1" applyAlignment="1" applyProtection="1">
      <alignment horizontal="center" vertical="center"/>
    </xf>
    <xf numFmtId="0" fontId="34" fillId="47" borderId="21" xfId="0" applyFont="1" applyFill="1" applyBorder="1" applyAlignment="1" applyProtection="1">
      <alignment horizontal="center" vertical="center"/>
    </xf>
    <xf numFmtId="0" fontId="34" fillId="47" borderId="0" xfId="0" applyFont="1" applyFill="1" applyBorder="1" applyAlignment="1" applyProtection="1">
      <alignment horizontal="center" vertical="center"/>
    </xf>
    <xf numFmtId="0" fontId="34" fillId="47" borderId="23" xfId="0" applyFont="1" applyFill="1" applyBorder="1" applyAlignment="1" applyProtection="1">
      <alignment horizontal="center" vertical="center"/>
    </xf>
    <xf numFmtId="0" fontId="40" fillId="47" borderId="4" xfId="0" applyFont="1" applyFill="1" applyBorder="1" applyAlignment="1" applyProtection="1">
      <alignment horizontal="center" vertical="center"/>
    </xf>
    <xf numFmtId="0" fontId="75" fillId="47" borderId="1" xfId="0" applyFont="1" applyFill="1" applyBorder="1" applyAlignment="1" applyProtection="1">
      <alignment horizontal="center" vertical="center"/>
    </xf>
    <xf numFmtId="0" fontId="75" fillId="47" borderId="3" xfId="0" applyFont="1" applyFill="1" applyBorder="1" applyAlignment="1" applyProtection="1">
      <alignment horizontal="center" vertical="center"/>
    </xf>
    <xf numFmtId="0" fontId="75" fillId="47" borderId="41" xfId="0" applyFont="1" applyFill="1" applyBorder="1" applyAlignment="1" applyProtection="1">
      <alignment horizontal="center" vertical="center"/>
    </xf>
    <xf numFmtId="0" fontId="153" fillId="31" borderId="66" xfId="0" applyFont="1" applyFill="1" applyBorder="1" applyAlignment="1" applyProtection="1">
      <alignment horizontal="left" vertical="center"/>
    </xf>
    <xf numFmtId="0" fontId="153" fillId="31" borderId="61" xfId="0" applyFont="1" applyFill="1" applyBorder="1" applyAlignment="1" applyProtection="1">
      <alignment horizontal="left" vertical="center"/>
    </xf>
    <xf numFmtId="0" fontId="153" fillId="31" borderId="60" xfId="0" applyFont="1" applyFill="1" applyBorder="1" applyAlignment="1" applyProtection="1">
      <alignment horizontal="left" vertical="center"/>
    </xf>
    <xf numFmtId="0" fontId="181" fillId="47" borderId="1" xfId="0" applyFont="1" applyFill="1" applyBorder="1" applyAlignment="1">
      <alignment horizontal="center" vertical="center"/>
    </xf>
    <xf numFmtId="0" fontId="181" fillId="47" borderId="3" xfId="0" applyFont="1" applyFill="1" applyBorder="1" applyAlignment="1">
      <alignment horizontal="center" vertical="center"/>
    </xf>
    <xf numFmtId="0" fontId="181" fillId="47" borderId="41" xfId="0" applyFont="1" applyFill="1" applyBorder="1" applyAlignment="1">
      <alignment horizontal="center" vertical="center"/>
    </xf>
    <xf numFmtId="0" fontId="40" fillId="47" borderId="1" xfId="0" applyFont="1" applyFill="1" applyBorder="1" applyAlignment="1" applyProtection="1">
      <alignment horizontal="center" vertical="center"/>
    </xf>
    <xf numFmtId="0" fontId="40" fillId="47" borderId="3" xfId="0" applyFont="1" applyFill="1" applyBorder="1" applyAlignment="1" applyProtection="1">
      <alignment horizontal="center" vertical="center"/>
    </xf>
    <xf numFmtId="0" fontId="40" fillId="47" borderId="41" xfId="0" applyFont="1" applyFill="1" applyBorder="1" applyAlignment="1" applyProtection="1">
      <alignment horizontal="center" vertical="center"/>
    </xf>
    <xf numFmtId="0" fontId="34" fillId="47" borderId="4" xfId="0" applyFont="1" applyFill="1" applyBorder="1" applyAlignment="1" applyProtection="1">
      <alignment horizontal="center" vertical="center" wrapText="1"/>
    </xf>
    <xf numFmtId="39" fontId="34" fillId="47" borderId="22" xfId="0" applyNumberFormat="1" applyFont="1" applyFill="1" applyBorder="1" applyAlignment="1" applyProtection="1">
      <alignment horizontal="center" vertical="center"/>
    </xf>
    <xf numFmtId="39" fontId="34" fillId="47" borderId="20" xfId="0" applyNumberFormat="1" applyFont="1" applyFill="1" applyBorder="1" applyAlignment="1" applyProtection="1">
      <alignment horizontal="center" vertical="center"/>
    </xf>
    <xf numFmtId="0" fontId="87" fillId="0" borderId="0" xfId="0" applyFont="1" applyAlignment="1">
      <alignment horizontal="center"/>
    </xf>
    <xf numFmtId="0" fontId="42" fillId="0" borderId="18" xfId="0" applyFont="1" applyBorder="1" applyAlignment="1">
      <alignment horizontal="center"/>
    </xf>
    <xf numFmtId="0" fontId="113" fillId="0" borderId="18" xfId="0" applyFont="1" applyBorder="1" applyAlignment="1">
      <alignment horizontal="center"/>
    </xf>
    <xf numFmtId="0" fontId="44" fillId="47" borderId="19" xfId="0" applyFont="1" applyFill="1" applyBorder="1" applyAlignment="1">
      <alignment horizontal="center" vertical="center"/>
    </xf>
    <xf numFmtId="0" fontId="44" fillId="47" borderId="10" xfId="0" applyFont="1" applyFill="1" applyBorder="1" applyAlignment="1">
      <alignment horizontal="center"/>
    </xf>
    <xf numFmtId="0" fontId="44" fillId="47" borderId="4" xfId="0" applyFont="1" applyFill="1" applyBorder="1" applyAlignment="1">
      <alignment horizontal="center" vertical="center"/>
    </xf>
    <xf numFmtId="2" fontId="112" fillId="0" borderId="0" xfId="0" applyNumberFormat="1" applyFont="1" applyAlignment="1">
      <alignment horizontal="center" vertical="center" wrapText="1"/>
    </xf>
    <xf numFmtId="0" fontId="44" fillId="47" borderId="19" xfId="0" applyFont="1" applyFill="1" applyBorder="1" applyAlignment="1">
      <alignment horizontal="center" vertical="center" wrapText="1"/>
    </xf>
    <xf numFmtId="0" fontId="44" fillId="47" borderId="10" xfId="0" applyFont="1" applyFill="1" applyBorder="1" applyAlignment="1">
      <alignment horizontal="center" vertical="center" wrapText="1"/>
    </xf>
    <xf numFmtId="0" fontId="44" fillId="47" borderId="10" xfId="0" applyFont="1" applyFill="1" applyBorder="1" applyAlignment="1">
      <alignment horizontal="center" vertical="center"/>
    </xf>
    <xf numFmtId="0" fontId="44" fillId="47" borderId="10" xfId="0" applyFont="1" applyFill="1" applyBorder="1"/>
    <xf numFmtId="0" fontId="44" fillId="47" borderId="22" xfId="0" applyFont="1" applyFill="1" applyBorder="1" applyAlignment="1">
      <alignment horizontal="center" vertical="center"/>
    </xf>
    <xf numFmtId="0" fontId="44" fillId="47" borderId="20" xfId="0" applyFont="1" applyFill="1" applyBorder="1" applyAlignment="1">
      <alignment horizontal="center" vertical="center"/>
    </xf>
    <xf numFmtId="43" fontId="45" fillId="47" borderId="119" xfId="0" applyNumberFormat="1" applyFont="1" applyFill="1" applyBorder="1" applyAlignment="1">
      <alignment horizontal="center"/>
    </xf>
    <xf numFmtId="43" fontId="45" fillId="47" borderId="120" xfId="0" applyNumberFormat="1" applyFont="1" applyFill="1" applyBorder="1" applyAlignment="1">
      <alignment horizontal="center"/>
    </xf>
    <xf numFmtId="43" fontId="45" fillId="47" borderId="121" xfId="0" applyNumberFormat="1" applyFont="1" applyFill="1" applyBorder="1" applyAlignment="1">
      <alignment horizontal="center"/>
    </xf>
    <xf numFmtId="4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43" fontId="45" fillId="47" borderId="122" xfId="0" applyNumberFormat="1" applyFont="1" applyFill="1" applyBorder="1" applyAlignment="1">
      <alignment horizontal="center" vertical="center"/>
    </xf>
    <xf numFmtId="43" fontId="45" fillId="47" borderId="42" xfId="0" applyNumberFormat="1" applyFont="1" applyFill="1" applyBorder="1" applyAlignment="1">
      <alignment horizontal="center" vertical="center"/>
    </xf>
    <xf numFmtId="43" fontId="45" fillId="47" borderId="123" xfId="0" applyNumberFormat="1" applyFont="1" applyFill="1" applyBorder="1" applyAlignment="1">
      <alignment horizontal="center" vertical="center"/>
    </xf>
    <xf numFmtId="43" fontId="64" fillId="0" borderId="19" xfId="24" applyNumberFormat="1" applyFont="1" applyBorder="1" applyAlignment="1">
      <alignment horizontal="center" vertical="center"/>
    </xf>
    <xf numFmtId="43" fontId="64" fillId="0" borderId="5" xfId="24" applyNumberFormat="1" applyFont="1" applyBorder="1" applyAlignment="1">
      <alignment horizontal="center" vertical="center"/>
    </xf>
    <xf numFmtId="43" fontId="64" fillId="0" borderId="124" xfId="24" applyNumberFormat="1" applyFont="1" applyBorder="1" applyAlignment="1">
      <alignment horizontal="center" vertical="center"/>
    </xf>
    <xf numFmtId="198" fontId="42" fillId="9" borderId="148" xfId="24" applyNumberFormat="1" applyFont="1" applyFill="1" applyBorder="1" applyAlignment="1">
      <alignment horizontal="center"/>
    </xf>
    <xf numFmtId="198" fontId="42" fillId="9" borderId="149" xfId="24" applyNumberFormat="1" applyFont="1" applyFill="1" applyBorder="1" applyAlignment="1">
      <alignment horizontal="center"/>
    </xf>
    <xf numFmtId="198" fontId="42" fillId="9" borderId="150" xfId="24" applyNumberFormat="1" applyFont="1" applyFill="1" applyBorder="1" applyAlignment="1">
      <alignment horizontal="center"/>
    </xf>
    <xf numFmtId="198" fontId="42" fillId="9" borderId="1" xfId="24" applyNumberFormat="1" applyFont="1" applyFill="1" applyBorder="1" applyAlignment="1">
      <alignment horizontal="center"/>
    </xf>
    <xf numFmtId="198" fontId="42" fillId="9" borderId="3" xfId="24" applyNumberFormat="1" applyFont="1" applyFill="1" applyBorder="1" applyAlignment="1">
      <alignment horizontal="center"/>
    </xf>
    <xf numFmtId="198" fontId="42" fillId="9" borderId="41" xfId="24" applyNumberFormat="1" applyFont="1" applyFill="1" applyBorder="1" applyAlignment="1">
      <alignment horizontal="center"/>
    </xf>
    <xf numFmtId="200" fontId="42" fillId="0" borderId="151" xfId="0" applyNumberFormat="1" applyFont="1" applyBorder="1" applyAlignment="1">
      <alignment horizontal="center" vertical="center"/>
    </xf>
    <xf numFmtId="200" fontId="42" fillId="0" borderId="5" xfId="0" applyNumberFormat="1" applyFont="1" applyBorder="1" applyAlignment="1">
      <alignment horizontal="center" vertical="center"/>
    </xf>
    <xf numFmtId="200" fontId="45" fillId="47" borderId="119" xfId="0" applyNumberFormat="1" applyFont="1" applyFill="1" applyBorder="1" applyAlignment="1">
      <alignment horizontal="center"/>
    </xf>
    <xf numFmtId="200" fontId="45" fillId="47" borderId="120" xfId="0" applyNumberFormat="1" applyFont="1" applyFill="1" applyBorder="1" applyAlignment="1">
      <alignment horizontal="center"/>
    </xf>
    <xf numFmtId="200" fontId="45" fillId="47" borderId="121" xfId="0" applyNumberFormat="1" applyFont="1" applyFill="1" applyBorder="1" applyAlignment="1">
      <alignment horizontal="center"/>
    </xf>
    <xf numFmtId="41" fontId="172" fillId="0" borderId="0" xfId="0" applyNumberFormat="1" applyFont="1" applyFill="1" applyAlignment="1">
      <alignment horizontal="center"/>
    </xf>
    <xf numFmtId="0" fontId="172" fillId="0" borderId="0" xfId="0" applyFont="1" applyFill="1" applyAlignment="1">
      <alignment horizontal="center"/>
    </xf>
    <xf numFmtId="2" fontId="172" fillId="31" borderId="0" xfId="0" applyNumberFormat="1" applyFont="1" applyFill="1" applyAlignment="1">
      <alignment horizontal="center"/>
    </xf>
    <xf numFmtId="0" fontId="172" fillId="31" borderId="0" xfId="0" applyFont="1" applyFill="1" applyAlignment="1">
      <alignment horizontal="center"/>
    </xf>
    <xf numFmtId="189" fontId="172" fillId="0" borderId="0" xfId="0" applyNumberFormat="1" applyFont="1" applyFill="1" applyAlignment="1">
      <alignment horizontal="center"/>
    </xf>
    <xf numFmtId="4" fontId="172" fillId="31" borderId="0" xfId="0" applyNumberFormat="1" applyFont="1" applyFill="1" applyAlignment="1">
      <alignment horizontal="center"/>
    </xf>
    <xf numFmtId="4" fontId="172" fillId="0" borderId="0" xfId="24" applyNumberFormat="1" applyFont="1" applyFill="1" applyAlignment="1">
      <alignment horizontal="center"/>
    </xf>
    <xf numFmtId="0" fontId="172" fillId="0" borderId="0" xfId="0" applyFont="1" applyAlignment="1">
      <alignment horizontal="center"/>
    </xf>
    <xf numFmtId="3" fontId="172" fillId="31" borderId="0" xfId="0" applyNumberFormat="1" applyFont="1" applyFill="1" applyAlignment="1">
      <alignment horizontal="center"/>
    </xf>
    <xf numFmtId="0" fontId="182" fillId="0" borderId="0" xfId="0" applyFont="1" applyAlignment="1">
      <alignment horizontal="center"/>
    </xf>
    <xf numFmtId="0" fontId="172" fillId="0" borderId="0" xfId="0" applyFont="1" applyAlignment="1">
      <alignment horizontal="left" wrapText="1"/>
    </xf>
    <xf numFmtId="199" fontId="71" fillId="12" borderId="1" xfId="51" applyNumberFormat="1" applyFont="1" applyFill="1" applyBorder="1" applyAlignment="1">
      <alignment horizontal="center"/>
    </xf>
    <xf numFmtId="199" fontId="71" fillId="12" borderId="3" xfId="51" applyNumberFormat="1" applyFont="1" applyFill="1" applyBorder="1" applyAlignment="1">
      <alignment horizontal="center"/>
    </xf>
    <xf numFmtId="199" fontId="71" fillId="12" borderId="41" xfId="51" applyNumberFormat="1" applyFont="1" applyFill="1" applyBorder="1" applyAlignment="1">
      <alignment horizontal="center"/>
    </xf>
    <xf numFmtId="0" fontId="150" fillId="28" borderId="1" xfId="51" applyFont="1" applyFill="1" applyBorder="1" applyAlignment="1">
      <alignment horizontal="center"/>
    </xf>
    <xf numFmtId="0" fontId="150" fillId="28" borderId="3" xfId="51" applyFont="1" applyFill="1" applyBorder="1" applyAlignment="1">
      <alignment horizontal="center"/>
    </xf>
    <xf numFmtId="0" fontId="150" fillId="28" borderId="41" xfId="51" applyFont="1" applyFill="1" applyBorder="1" applyAlignment="1">
      <alignment horizontal="center"/>
    </xf>
    <xf numFmtId="0" fontId="44" fillId="12" borderId="10" xfId="51" applyFont="1" applyFill="1" applyBorder="1" applyAlignment="1">
      <alignment horizontal="center" vertical="center"/>
    </xf>
    <xf numFmtId="0" fontId="44" fillId="12" borderId="4" xfId="51" applyFont="1" applyFill="1" applyBorder="1" applyAlignment="1">
      <alignment horizontal="center" vertical="center"/>
    </xf>
    <xf numFmtId="2" fontId="66" fillId="12" borderId="19" xfId="51" applyNumberFormat="1" applyFont="1" applyFill="1" applyBorder="1" applyAlignment="1">
      <alignment horizontal="center" vertical="center"/>
    </xf>
    <xf numFmtId="2" fontId="66" fillId="12" borderId="10" xfId="51" applyNumberFormat="1" applyFont="1" applyFill="1" applyBorder="1" applyAlignment="1">
      <alignment horizontal="center" vertical="center"/>
    </xf>
    <xf numFmtId="199" fontId="72" fillId="12" borderId="4" xfId="51" applyNumberFormat="1" applyFont="1" applyFill="1" applyBorder="1" applyAlignment="1">
      <alignment horizontal="center"/>
    </xf>
    <xf numFmtId="0" fontId="66" fillId="12" borderId="20" xfId="51" applyFont="1" applyFill="1" applyBorder="1" applyAlignment="1">
      <alignment horizontal="center" vertical="center"/>
    </xf>
    <xf numFmtId="0" fontId="66" fillId="12" borderId="26" xfId="51" applyFont="1" applyFill="1" applyBorder="1" applyAlignment="1">
      <alignment horizontal="center" vertical="center"/>
    </xf>
    <xf numFmtId="0" fontId="44" fillId="12" borderId="25" xfId="51" applyFont="1" applyFill="1" applyBorder="1" applyAlignment="1">
      <alignment horizontal="center"/>
    </xf>
    <xf numFmtId="0" fontId="44" fillId="40" borderId="18" xfId="51" applyFont="1" applyFill="1" applyBorder="1" applyAlignment="1">
      <alignment horizontal="center"/>
    </xf>
    <xf numFmtId="0" fontId="44" fillId="12" borderId="26" xfId="51" applyFont="1" applyFill="1" applyBorder="1" applyAlignment="1">
      <alignment horizontal="center"/>
    </xf>
    <xf numFmtId="0" fontId="44" fillId="12" borderId="1" xfId="51" applyFont="1" applyFill="1" applyBorder="1" applyAlignment="1">
      <alignment horizontal="center"/>
    </xf>
    <xf numFmtId="0" fontId="44" fillId="12" borderId="41" xfId="51" applyFont="1" applyFill="1" applyBorder="1" applyAlignment="1">
      <alignment horizontal="center"/>
    </xf>
    <xf numFmtId="0" fontId="44" fillId="12" borderId="21" xfId="51" applyFont="1" applyFill="1" applyBorder="1" applyAlignment="1">
      <alignment horizontal="center" wrapText="1"/>
    </xf>
    <xf numFmtId="0" fontId="44" fillId="12" borderId="25" xfId="51" applyFont="1" applyFill="1" applyBorder="1" applyAlignment="1">
      <alignment horizontal="center" wrapText="1"/>
    </xf>
    <xf numFmtId="0" fontId="44" fillId="12" borderId="21" xfId="51" applyFont="1" applyFill="1" applyBorder="1" applyAlignment="1">
      <alignment horizontal="center" vertical="center"/>
    </xf>
    <xf numFmtId="0" fontId="44" fillId="12" borderId="25" xfId="51" applyFont="1" applyFill="1" applyBorder="1" applyAlignment="1">
      <alignment horizontal="center" vertical="center"/>
    </xf>
    <xf numFmtId="0" fontId="66" fillId="12" borderId="19" xfId="51" applyFont="1" applyFill="1" applyBorder="1" applyAlignment="1">
      <alignment horizontal="center" vertical="center" wrapText="1"/>
    </xf>
    <xf numFmtId="0" fontId="66" fillId="12" borderId="5" xfId="51" applyFont="1" applyFill="1" applyBorder="1" applyAlignment="1">
      <alignment horizontal="center" vertical="center" wrapText="1"/>
    </xf>
    <xf numFmtId="0" fontId="66" fillId="12" borderId="10" xfId="51" applyFont="1" applyFill="1" applyBorder="1" applyAlignment="1">
      <alignment horizontal="center" vertical="center" wrapText="1"/>
    </xf>
    <xf numFmtId="0" fontId="66" fillId="12" borderId="1" xfId="51" applyFont="1" applyFill="1" applyBorder="1" applyAlignment="1">
      <alignment horizontal="center"/>
    </xf>
    <xf numFmtId="0" fontId="66" fillId="12" borderId="3" xfId="51" applyFont="1" applyFill="1" applyBorder="1" applyAlignment="1">
      <alignment horizontal="center"/>
    </xf>
    <xf numFmtId="0" fontId="66" fillId="12" borderId="41" xfId="51" applyFont="1" applyFill="1" applyBorder="1" applyAlignment="1">
      <alignment horizontal="center"/>
    </xf>
    <xf numFmtId="0" fontId="66" fillId="12" borderId="22" xfId="51" applyFont="1" applyFill="1" applyBorder="1" applyAlignment="1">
      <alignment horizontal="center" vertical="center"/>
    </xf>
    <xf numFmtId="0" fontId="66" fillId="12" borderId="25" xfId="51" applyFont="1" applyFill="1" applyBorder="1" applyAlignment="1">
      <alignment horizontal="center" vertical="center"/>
    </xf>
    <xf numFmtId="0" fontId="150" fillId="28" borderId="4" xfId="51" applyFont="1" applyFill="1" applyBorder="1" applyAlignment="1">
      <alignment horizontal="center"/>
    </xf>
    <xf numFmtId="0" fontId="66" fillId="12" borderId="21" xfId="51" applyFont="1" applyFill="1" applyBorder="1" applyAlignment="1">
      <alignment horizontal="center" vertical="center"/>
    </xf>
    <xf numFmtId="0" fontId="66" fillId="12" borderId="0" xfId="51" applyFont="1" applyFill="1" applyBorder="1" applyAlignment="1">
      <alignment horizontal="center" vertical="center"/>
    </xf>
    <xf numFmtId="0" fontId="66" fillId="12" borderId="18" xfId="51" applyFont="1" applyFill="1" applyBorder="1" applyAlignment="1">
      <alignment horizontal="center" vertical="center"/>
    </xf>
    <xf numFmtId="0" fontId="66" fillId="12" borderId="23" xfId="51" applyFont="1" applyFill="1" applyBorder="1" applyAlignment="1">
      <alignment horizontal="center" vertical="center"/>
    </xf>
    <xf numFmtId="0" fontId="66" fillId="12" borderId="19" xfId="51" applyFont="1" applyFill="1" applyBorder="1" applyAlignment="1">
      <alignment horizontal="center" vertical="center"/>
    </xf>
    <xf numFmtId="0" fontId="66" fillId="12" borderId="10" xfId="51" applyFont="1" applyFill="1" applyBorder="1" applyAlignment="1">
      <alignment horizontal="center" vertical="center"/>
    </xf>
    <xf numFmtId="0" fontId="66" fillId="12" borderId="24" xfId="51" applyFont="1" applyFill="1" applyBorder="1" applyAlignment="1">
      <alignment horizontal="center" vertical="center"/>
    </xf>
    <xf numFmtId="0" fontId="147" fillId="28" borderId="4" xfId="51" applyFont="1" applyFill="1" applyBorder="1" applyAlignment="1" applyProtection="1">
      <alignment horizontal="center"/>
    </xf>
    <xf numFmtId="0" fontId="44" fillId="29" borderId="19" xfId="51" applyFont="1" applyFill="1" applyBorder="1" applyAlignment="1" applyProtection="1">
      <alignment horizontal="center" vertical="center" wrapText="1"/>
    </xf>
    <xf numFmtId="0" fontId="44" fillId="29" borderId="10" xfId="51" applyFont="1" applyFill="1" applyBorder="1" applyAlignment="1" applyProtection="1">
      <alignment horizontal="center" vertical="center" wrapText="1"/>
    </xf>
    <xf numFmtId="0" fontId="42" fillId="0" borderId="0" xfId="51" applyFont="1" applyAlignment="1">
      <alignment horizontal="center"/>
    </xf>
    <xf numFmtId="0" fontId="44" fillId="0" borderId="0" xfId="51" applyFont="1" applyAlignment="1">
      <alignment horizontal="center"/>
    </xf>
    <xf numFmtId="0" fontId="42" fillId="0" borderId="0" xfId="51" applyFont="1" applyBorder="1" applyAlignment="1">
      <alignment horizontal="center"/>
    </xf>
    <xf numFmtId="0" fontId="147" fillId="28" borderId="4" xfId="51" applyFont="1" applyFill="1" applyBorder="1" applyAlignment="1" applyProtection="1">
      <alignment horizontal="center" vertical="center"/>
    </xf>
    <xf numFmtId="0" fontId="62" fillId="26" borderId="4" xfId="51" applyFont="1" applyFill="1" applyBorder="1" applyAlignment="1" applyProtection="1">
      <alignment horizontal="center" vertical="justify"/>
    </xf>
    <xf numFmtId="0" fontId="44" fillId="26" borderId="4" xfId="51" applyFont="1" applyFill="1" applyBorder="1" applyAlignment="1" applyProtection="1">
      <alignment horizontal="center" vertical="center"/>
    </xf>
    <xf numFmtId="0" fontId="44" fillId="26" borderId="19" xfId="51" applyFont="1" applyFill="1" applyBorder="1" applyAlignment="1" applyProtection="1">
      <alignment horizontal="center" vertical="center" wrapText="1"/>
    </xf>
    <xf numFmtId="0" fontId="44" fillId="26" borderId="10" xfId="51" applyFont="1" applyFill="1" applyBorder="1" applyAlignment="1" applyProtection="1">
      <alignment horizontal="center" vertical="center" wrapText="1"/>
    </xf>
    <xf numFmtId="0" fontId="147" fillId="28" borderId="19" xfId="51" applyFont="1" applyFill="1" applyBorder="1" applyAlignment="1" applyProtection="1">
      <alignment horizontal="center" vertical="center" wrapText="1"/>
    </xf>
    <xf numFmtId="0" fontId="147" fillId="28" borderId="10" xfId="51" applyFont="1" applyFill="1" applyBorder="1" applyAlignment="1" applyProtection="1">
      <alignment horizontal="center" vertical="center" wrapText="1"/>
    </xf>
    <xf numFmtId="0" fontId="44" fillId="26" borderId="10" xfId="51" applyFont="1" applyFill="1" applyBorder="1" applyAlignment="1" applyProtection="1">
      <alignment horizontal="center"/>
    </xf>
    <xf numFmtId="0" fontId="183" fillId="28" borderId="4" xfId="51" applyFont="1" applyFill="1" applyBorder="1" applyAlignment="1" applyProtection="1">
      <alignment horizontal="center" vertical="justify"/>
    </xf>
    <xf numFmtId="0" fontId="147" fillId="28" borderId="1" xfId="51" applyFont="1" applyFill="1" applyBorder="1" applyAlignment="1">
      <alignment horizontal="center"/>
    </xf>
    <xf numFmtId="0" fontId="147" fillId="28" borderId="3" xfId="51" applyFont="1" applyFill="1" applyBorder="1" applyAlignment="1">
      <alignment horizontal="center"/>
    </xf>
    <xf numFmtId="0" fontId="147" fillId="28" borderId="41" xfId="51" applyFont="1" applyFill="1" applyBorder="1" applyAlignment="1">
      <alignment horizontal="center"/>
    </xf>
    <xf numFmtId="0" fontId="62" fillId="29" borderId="4" xfId="0" applyFont="1" applyFill="1" applyBorder="1" applyAlignment="1" applyProtection="1">
      <alignment horizontal="center" vertical="justify"/>
    </xf>
    <xf numFmtId="0" fontId="44" fillId="29" borderId="4" xfId="51" applyFont="1" applyFill="1" applyBorder="1" applyAlignment="1" applyProtection="1">
      <alignment horizontal="center" vertical="center"/>
    </xf>
    <xf numFmtId="0" fontId="53" fillId="29" borderId="4" xfId="0" applyFont="1" applyFill="1" applyBorder="1" applyAlignment="1" applyProtection="1">
      <alignment horizontal="center" vertical="justify"/>
    </xf>
    <xf numFmtId="0" fontId="75" fillId="29" borderId="4" xfId="51" applyFont="1" applyFill="1" applyBorder="1" applyAlignment="1">
      <alignment horizontal="center" wrapText="1"/>
    </xf>
    <xf numFmtId="0" fontId="75" fillId="29" borderId="19" xfId="51" applyFont="1" applyFill="1" applyBorder="1" applyAlignment="1" applyProtection="1">
      <alignment horizontal="center" vertical="center" wrapText="1"/>
    </xf>
    <xf numFmtId="0" fontId="75" fillId="29" borderId="10" xfId="51" applyFont="1" applyFill="1" applyBorder="1" applyAlignment="1" applyProtection="1">
      <alignment horizontal="center" vertical="center" wrapText="1"/>
    </xf>
    <xf numFmtId="0" fontId="44" fillId="30" borderId="4" xfId="51" applyFont="1" applyFill="1" applyBorder="1" applyAlignment="1" applyProtection="1">
      <alignment horizontal="center" vertical="justify"/>
    </xf>
    <xf numFmtId="191" fontId="167" fillId="21" borderId="4" xfId="51" applyNumberFormat="1" applyFont="1" applyFill="1" applyBorder="1" applyAlignment="1" applyProtection="1">
      <alignment horizontal="center" vertical="center"/>
    </xf>
    <xf numFmtId="0" fontId="44" fillId="29" borderId="4" xfId="51" applyFont="1" applyFill="1" applyBorder="1" applyAlignment="1" applyProtection="1">
      <alignment horizontal="center"/>
    </xf>
    <xf numFmtId="0" fontId="44" fillId="38" borderId="4" xfId="51" applyFont="1" applyFill="1" applyBorder="1" applyAlignment="1">
      <alignment horizontal="left" vertical="center"/>
    </xf>
    <xf numFmtId="0" fontId="44" fillId="38" borderId="4" xfId="0" applyFont="1" applyFill="1" applyBorder="1" applyAlignment="1">
      <alignment horizontal="left" vertical="center"/>
    </xf>
    <xf numFmtId="0" fontId="44" fillId="38" borderId="85" xfId="51" applyFont="1" applyFill="1" applyBorder="1" applyAlignment="1">
      <alignment horizontal="center" vertical="center"/>
    </xf>
    <xf numFmtId="0" fontId="44" fillId="38" borderId="86" xfId="51" applyFont="1" applyFill="1" applyBorder="1" applyAlignment="1">
      <alignment horizontal="center" vertical="center"/>
    </xf>
    <xf numFmtId="0" fontId="44" fillId="38" borderId="87" xfId="51" applyFont="1" applyFill="1" applyBorder="1" applyAlignment="1">
      <alignment horizontal="center" vertical="center"/>
    </xf>
    <xf numFmtId="0" fontId="184" fillId="26" borderId="1" xfId="51" applyFont="1" applyFill="1" applyBorder="1" applyAlignment="1" applyProtection="1">
      <alignment horizontal="center" vertical="justify"/>
    </xf>
    <xf numFmtId="0" fontId="184" fillId="26" borderId="3" xfId="51" applyFont="1" applyFill="1" applyBorder="1" applyAlignment="1" applyProtection="1">
      <alignment horizontal="center" vertical="justify"/>
    </xf>
    <xf numFmtId="0" fontId="184" fillId="26" borderId="41" xfId="51" applyFont="1" applyFill="1" applyBorder="1" applyAlignment="1" applyProtection="1">
      <alignment horizontal="center" vertical="justify"/>
    </xf>
    <xf numFmtId="0" fontId="44" fillId="38" borderId="77" xfId="0" applyFont="1" applyFill="1" applyBorder="1" applyAlignment="1">
      <alignment horizontal="center" vertical="center"/>
    </xf>
    <xf numFmtId="0" fontId="44" fillId="38" borderId="3" xfId="0" applyFont="1" applyFill="1" applyBorder="1" applyAlignment="1">
      <alignment horizontal="center" vertical="center"/>
    </xf>
    <xf numFmtId="0" fontId="44" fillId="38" borderId="41" xfId="0" applyFont="1" applyFill="1" applyBorder="1" applyAlignment="1">
      <alignment horizontal="center" vertical="center"/>
    </xf>
    <xf numFmtId="0" fontId="44" fillId="38" borderId="1" xfId="0" applyFont="1" applyFill="1" applyBorder="1" applyAlignment="1">
      <alignment horizontal="center" vertical="center"/>
    </xf>
    <xf numFmtId="0" fontId="44" fillId="38" borderId="94" xfId="0" applyFont="1" applyFill="1" applyBorder="1" applyAlignment="1">
      <alignment horizontal="center" vertical="center"/>
    </xf>
    <xf numFmtId="0" fontId="44" fillId="38" borderId="75" xfId="51" applyFont="1" applyFill="1" applyBorder="1" applyAlignment="1">
      <alignment horizontal="center" vertical="center"/>
    </xf>
    <xf numFmtId="0" fontId="44" fillId="38" borderId="4" xfId="51" applyFont="1" applyFill="1" applyBorder="1" applyAlignment="1">
      <alignment horizontal="center" vertical="center"/>
    </xf>
    <xf numFmtId="0" fontId="44" fillId="38" borderId="76" xfId="51" applyFont="1" applyFill="1" applyBorder="1" applyAlignment="1">
      <alignment horizontal="center" vertical="center"/>
    </xf>
    <xf numFmtId="0" fontId="40" fillId="0" borderId="0" xfId="0" applyFont="1" applyAlignment="1" applyProtection="1">
      <alignment horizontal="center"/>
    </xf>
    <xf numFmtId="191" fontId="44" fillId="33" borderId="0" xfId="0" applyNumberFormat="1" applyFont="1" applyFill="1" applyBorder="1" applyAlignment="1" applyProtection="1">
      <alignment horizontal="center" vertical="center"/>
    </xf>
    <xf numFmtId="0" fontId="44" fillId="47" borderId="1" xfId="0" applyFont="1" applyFill="1" applyBorder="1" applyAlignment="1" applyProtection="1">
      <alignment horizontal="center" vertical="center"/>
    </xf>
    <xf numFmtId="0" fontId="44" fillId="47" borderId="3" xfId="0" applyFont="1" applyFill="1" applyBorder="1" applyAlignment="1" applyProtection="1">
      <alignment horizontal="center" vertical="center"/>
    </xf>
    <xf numFmtId="0" fontId="44" fillId="47" borderId="41" xfId="0" applyFont="1" applyFill="1" applyBorder="1" applyAlignment="1" applyProtection="1">
      <alignment horizontal="center" vertical="center"/>
    </xf>
    <xf numFmtId="3" fontId="44" fillId="47" borderId="1" xfId="0" applyNumberFormat="1" applyFont="1" applyFill="1" applyBorder="1" applyAlignment="1" applyProtection="1">
      <alignment horizontal="center" vertical="center"/>
    </xf>
    <xf numFmtId="3" fontId="44" fillId="47" borderId="3" xfId="0" applyNumberFormat="1" applyFont="1" applyFill="1" applyBorder="1" applyAlignment="1" applyProtection="1">
      <alignment horizontal="center" vertical="center"/>
    </xf>
    <xf numFmtId="3" fontId="44" fillId="47" borderId="41" xfId="0" applyNumberFormat="1" applyFont="1" applyFill="1" applyBorder="1" applyAlignment="1" applyProtection="1">
      <alignment horizontal="center" vertical="center"/>
    </xf>
    <xf numFmtId="0" fontId="42" fillId="0" borderId="0" xfId="0" applyFont="1" applyAlignment="1" applyProtection="1">
      <alignment horizontal="center"/>
    </xf>
    <xf numFmtId="3" fontId="42" fillId="0" borderId="0" xfId="0" applyNumberFormat="1" applyFont="1" applyAlignment="1" applyProtection="1">
      <alignment horizontal="center"/>
    </xf>
    <xf numFmtId="4" fontId="42" fillId="0" borderId="0" xfId="55" applyFont="1" applyAlignment="1" applyProtection="1">
      <alignment horizontal="center"/>
    </xf>
    <xf numFmtId="191" fontId="42" fillId="0" borderId="24" xfId="0" applyNumberFormat="1" applyFont="1" applyBorder="1" applyAlignment="1" applyProtection="1">
      <alignment horizontal="center"/>
    </xf>
    <xf numFmtId="4" fontId="42" fillId="0" borderId="0" xfId="55" applyFont="1" applyAlignment="1" applyProtection="1">
      <alignment horizontal="center" vertical="center"/>
    </xf>
    <xf numFmtId="0" fontId="40" fillId="40" borderId="4" xfId="0" applyFont="1" applyFill="1" applyBorder="1" applyAlignment="1">
      <alignment horizontal="center"/>
    </xf>
    <xf numFmtId="189" fontId="42" fillId="0" borderId="0" xfId="0" applyNumberFormat="1" applyFont="1" applyFill="1" applyAlignment="1" applyProtection="1">
      <alignment horizontal="center"/>
    </xf>
    <xf numFmtId="4" fontId="44" fillId="0" borderId="0" xfId="55" applyFont="1" applyAlignment="1" applyProtection="1">
      <alignment horizontal="right" vertical="center"/>
    </xf>
    <xf numFmtId="0" fontId="171" fillId="0" borderId="0" xfId="0" applyFont="1" applyAlignment="1" applyProtection="1">
      <alignment horizontal="center"/>
    </xf>
    <xf numFmtId="191" fontId="161" fillId="41" borderId="0" xfId="0" applyNumberFormat="1" applyFont="1" applyFill="1" applyBorder="1" applyAlignment="1" applyProtection="1">
      <alignment horizontal="center" vertical="center"/>
    </xf>
    <xf numFmtId="3" fontId="44" fillId="24" borderId="1" xfId="0" applyNumberFormat="1" applyFont="1" applyFill="1" applyBorder="1" applyAlignment="1" applyProtection="1">
      <alignment horizontal="center" vertical="center"/>
    </xf>
    <xf numFmtId="3" fontId="44" fillId="24" borderId="3" xfId="0" applyNumberFormat="1" applyFont="1" applyFill="1" applyBorder="1" applyAlignment="1" applyProtection="1">
      <alignment horizontal="center" vertical="center"/>
    </xf>
    <xf numFmtId="3" fontId="44" fillId="24" borderId="41" xfId="0" applyNumberFormat="1" applyFont="1" applyFill="1" applyBorder="1" applyAlignment="1" applyProtection="1">
      <alignment horizontal="center" vertical="center"/>
    </xf>
    <xf numFmtId="0" fontId="44" fillId="24" borderId="1" xfId="0" applyFont="1" applyFill="1" applyBorder="1" applyAlignment="1" applyProtection="1">
      <alignment horizontal="center" vertical="center"/>
    </xf>
    <xf numFmtId="0" fontId="44" fillId="24" borderId="3" xfId="0" applyFont="1" applyFill="1" applyBorder="1" applyAlignment="1" applyProtection="1">
      <alignment horizontal="center" vertical="center"/>
    </xf>
    <xf numFmtId="0" fontId="44" fillId="24" borderId="41" xfId="0" applyFont="1" applyFill="1" applyBorder="1" applyAlignment="1" applyProtection="1">
      <alignment horizontal="center" vertical="center"/>
    </xf>
    <xf numFmtId="189" fontId="42" fillId="0" borderId="0" xfId="0" applyNumberFormat="1" applyFont="1" applyFill="1" applyAlignment="1" applyProtection="1">
      <alignment horizontal="center" vertical="center"/>
    </xf>
    <xf numFmtId="0" fontId="40" fillId="0" borderId="0" xfId="0" applyFont="1" applyAlignment="1" applyProtection="1">
      <alignment horizontal="left"/>
    </xf>
    <xf numFmtId="4" fontId="42" fillId="0" borderId="0" xfId="0" applyNumberFormat="1" applyFont="1" applyAlignment="1" applyProtection="1">
      <alignment horizontal="center"/>
    </xf>
    <xf numFmtId="4" fontId="42" fillId="0" borderId="0" xfId="55" applyFont="1" applyAlignment="1" applyProtection="1">
      <alignment horizontal="left" vertical="center"/>
    </xf>
    <xf numFmtId="0" fontId="44" fillId="24" borderId="19" xfId="0" applyFont="1" applyFill="1" applyBorder="1" applyAlignment="1" applyProtection="1">
      <alignment horizontal="center" vertical="center"/>
    </xf>
    <xf numFmtId="0" fontId="44" fillId="24" borderId="10" xfId="0" applyFont="1" applyFill="1" applyBorder="1" applyAlignment="1" applyProtection="1">
      <alignment horizontal="center" vertical="center"/>
    </xf>
    <xf numFmtId="0" fontId="44" fillId="24" borderId="22" xfId="0" applyFont="1" applyFill="1" applyBorder="1" applyAlignment="1" applyProtection="1">
      <alignment horizontal="center" vertical="center"/>
    </xf>
    <xf numFmtId="0" fontId="44" fillId="24" borderId="20" xfId="0" applyFont="1" applyFill="1" applyBorder="1" applyAlignment="1" applyProtection="1">
      <alignment horizontal="center" vertical="center"/>
    </xf>
    <xf numFmtId="0" fontId="44" fillId="24" borderId="25" xfId="0" applyFont="1" applyFill="1" applyBorder="1" applyAlignment="1" applyProtection="1">
      <alignment horizontal="center" vertical="center"/>
    </xf>
    <xf numFmtId="0" fontId="44" fillId="24" borderId="26" xfId="0" applyFont="1" applyFill="1" applyBorder="1" applyAlignment="1" applyProtection="1">
      <alignment horizontal="center" vertical="center"/>
    </xf>
    <xf numFmtId="0" fontId="177" fillId="0" borderId="0" xfId="0" applyFont="1" applyAlignment="1" applyProtection="1">
      <alignment horizontal="center" vertical="center"/>
    </xf>
    <xf numFmtId="0" fontId="161" fillId="0" borderId="0" xfId="0" applyFont="1" applyAlignment="1" applyProtection="1">
      <alignment horizontal="center" vertical="center"/>
    </xf>
    <xf numFmtId="0" fontId="161" fillId="0" borderId="18" xfId="0" applyFont="1" applyBorder="1" applyAlignment="1" applyProtection="1">
      <alignment horizontal="center" vertical="center"/>
    </xf>
    <xf numFmtId="1" fontId="185" fillId="0" borderId="0" xfId="0" applyNumberFormat="1" applyFont="1" applyAlignment="1" applyProtection="1">
      <alignment horizontal="center" vertical="center"/>
    </xf>
    <xf numFmtId="1" fontId="185" fillId="0" borderId="18" xfId="0" applyNumberFormat="1" applyFont="1" applyBorder="1" applyAlignment="1" applyProtection="1">
      <alignment horizontal="center" vertical="center"/>
    </xf>
    <xf numFmtId="0" fontId="44" fillId="24" borderId="24" xfId="0" applyFont="1" applyFill="1" applyBorder="1" applyAlignment="1" applyProtection="1">
      <alignment horizontal="center" vertical="center"/>
    </xf>
    <xf numFmtId="0" fontId="44" fillId="24" borderId="18" xfId="0" applyFont="1" applyFill="1" applyBorder="1" applyAlignment="1" applyProtection="1">
      <alignment horizontal="center" vertical="center"/>
    </xf>
    <xf numFmtId="0" fontId="49" fillId="0" borderId="61" xfId="0" applyFont="1" applyFill="1" applyBorder="1" applyAlignment="1" applyProtection="1">
      <alignment horizontal="left" vertical="center"/>
    </xf>
    <xf numFmtId="0" fontId="49" fillId="0" borderId="60" xfId="0" applyFont="1" applyFill="1" applyBorder="1" applyAlignment="1" applyProtection="1">
      <alignment horizontal="left" vertical="center"/>
    </xf>
    <xf numFmtId="0" fontId="49" fillId="0" borderId="100" xfId="0" applyFont="1" applyFill="1" applyBorder="1" applyAlignment="1" applyProtection="1">
      <alignment horizontal="left" vertical="center"/>
    </xf>
    <xf numFmtId="0" fontId="49" fillId="0" borderId="55" xfId="0" applyFont="1" applyFill="1" applyBorder="1" applyAlignment="1" applyProtection="1">
      <alignment horizontal="left" vertical="center"/>
    </xf>
    <xf numFmtId="0" fontId="42" fillId="0" borderId="66" xfId="0" applyFont="1" applyBorder="1" applyAlignment="1" applyProtection="1">
      <alignment horizontal="center" vertical="center"/>
    </xf>
    <xf numFmtId="0" fontId="42" fillId="0" borderId="60" xfId="0" applyFont="1" applyBorder="1" applyAlignment="1" applyProtection="1">
      <alignment horizontal="center" vertical="center"/>
    </xf>
    <xf numFmtId="0" fontId="49" fillId="33" borderId="66" xfId="0" applyFont="1" applyFill="1" applyBorder="1" applyAlignment="1" applyProtection="1">
      <alignment horizontal="center" vertical="center"/>
    </xf>
    <xf numFmtId="0" fontId="49" fillId="33" borderId="60" xfId="0" applyFont="1" applyFill="1" applyBorder="1" applyAlignment="1" applyProtection="1">
      <alignment horizontal="center" vertical="center"/>
    </xf>
    <xf numFmtId="0" fontId="48" fillId="0" borderId="66" xfId="0" applyFont="1" applyBorder="1" applyAlignment="1" applyProtection="1">
      <alignment horizontal="center" vertical="center"/>
    </xf>
    <xf numFmtId="0" fontId="48" fillId="0" borderId="60" xfId="0" applyFont="1" applyBorder="1" applyAlignment="1" applyProtection="1">
      <alignment horizontal="center" vertical="center"/>
    </xf>
    <xf numFmtId="0" fontId="177" fillId="0" borderId="0" xfId="0" applyFont="1" applyAlignment="1" applyProtection="1">
      <alignment horizontal="center"/>
    </xf>
    <xf numFmtId="0" fontId="42" fillId="0" borderId="101" xfId="0" applyFont="1" applyBorder="1" applyAlignment="1" applyProtection="1">
      <alignment horizontal="center" vertical="center"/>
    </xf>
    <xf numFmtId="0" fontId="42" fillId="0" borderId="55" xfId="0" applyFont="1" applyBorder="1" applyAlignment="1" applyProtection="1">
      <alignment horizontal="center" vertical="center"/>
    </xf>
    <xf numFmtId="0" fontId="44" fillId="0" borderId="0" xfId="0" applyFont="1" applyBorder="1" applyAlignment="1" applyProtection="1">
      <alignment vertical="center"/>
    </xf>
    <xf numFmtId="0" fontId="48" fillId="0" borderId="101" xfId="0" applyFont="1" applyFill="1" applyBorder="1" applyAlignment="1" applyProtection="1">
      <alignment horizontal="center" vertical="center"/>
    </xf>
    <xf numFmtId="0" fontId="48" fillId="0" borderId="55" xfId="0" applyFont="1" applyFill="1" applyBorder="1" applyAlignment="1" applyProtection="1">
      <alignment horizontal="center" vertical="center"/>
    </xf>
    <xf numFmtId="0" fontId="36" fillId="0" borderId="0" xfId="0" applyFont="1" applyAlignment="1" applyProtection="1">
      <alignment horizontal="left" vertical="center" wrapText="1"/>
    </xf>
    <xf numFmtId="0" fontId="51" fillId="0" borderId="0" xfId="0" applyFont="1" applyAlignment="1" applyProtection="1">
      <alignment horizontal="left" vertical="center" wrapText="1"/>
    </xf>
    <xf numFmtId="0" fontId="52" fillId="0" borderId="0" xfId="0" applyFont="1" applyAlignment="1" applyProtection="1">
      <alignment horizontal="left" vertical="center" wrapText="1"/>
    </xf>
    <xf numFmtId="0" fontId="34" fillId="0" borderId="0" xfId="92" applyFont="1" applyAlignment="1">
      <alignment horizontal="center" vertical="center"/>
    </xf>
    <xf numFmtId="0" fontId="34" fillId="47" borderId="19" xfId="92" quotePrefix="1" applyFont="1" applyFill="1" applyBorder="1" applyAlignment="1">
      <alignment horizontal="center" vertical="center" wrapText="1"/>
    </xf>
    <xf numFmtId="0" fontId="34" fillId="47" borderId="10" xfId="92" applyFont="1" applyFill="1" applyBorder="1" applyAlignment="1">
      <alignment horizontal="center" vertical="center" wrapText="1"/>
    </xf>
    <xf numFmtId="43" fontId="34" fillId="47" borderId="22" xfId="92" applyNumberFormat="1" applyFont="1" applyFill="1" applyBorder="1" applyAlignment="1">
      <alignment horizontal="center" vertical="center"/>
    </xf>
    <xf numFmtId="43" fontId="34" fillId="47" borderId="24" xfId="92" applyNumberFormat="1" applyFont="1" applyFill="1" applyBorder="1" applyAlignment="1">
      <alignment horizontal="center" vertical="center"/>
    </xf>
    <xf numFmtId="43" fontId="34" fillId="47" borderId="25" xfId="92" applyNumberFormat="1" applyFont="1" applyFill="1" applyBorder="1" applyAlignment="1">
      <alignment horizontal="center" vertical="center"/>
    </xf>
    <xf numFmtId="43" fontId="34" fillId="47" borderId="18" xfId="92" applyNumberFormat="1" applyFont="1" applyFill="1" applyBorder="1" applyAlignment="1">
      <alignment horizontal="center" vertical="center"/>
    </xf>
    <xf numFmtId="43" fontId="34" fillId="47" borderId="4" xfId="92" applyNumberFormat="1" applyFont="1" applyFill="1" applyBorder="1" applyAlignment="1">
      <alignment horizontal="center" vertical="center"/>
    </xf>
    <xf numFmtId="43" fontId="34" fillId="47" borderId="41" xfId="24" applyNumberFormat="1" applyFont="1" applyFill="1" applyBorder="1" applyAlignment="1">
      <alignment horizontal="center" vertical="center"/>
    </xf>
    <xf numFmtId="43" fontId="34" fillId="47" borderId="41" xfId="92" applyNumberFormat="1" applyFont="1" applyFill="1" applyBorder="1" applyAlignment="1">
      <alignment horizontal="center" vertical="center"/>
    </xf>
    <xf numFmtId="43" fontId="34" fillId="47" borderId="1" xfId="24" applyNumberFormat="1" applyFont="1" applyFill="1" applyBorder="1" applyAlignment="1">
      <alignment horizontal="center"/>
    </xf>
    <xf numFmtId="43" fontId="34" fillId="47" borderId="41" xfId="24" applyNumberFormat="1" applyFont="1" applyFill="1" applyBorder="1" applyAlignment="1">
      <alignment horizontal="center"/>
    </xf>
    <xf numFmtId="190" fontId="34" fillId="47" borderId="4" xfId="24" applyNumberFormat="1" applyFont="1" applyFill="1" applyBorder="1" applyAlignment="1">
      <alignment horizontal="center" vertical="center"/>
    </xf>
    <xf numFmtId="190" fontId="34" fillId="47" borderId="4" xfId="92" applyNumberFormat="1" applyFont="1" applyFill="1" applyBorder="1" applyAlignment="1">
      <alignment horizontal="center" vertical="center"/>
    </xf>
    <xf numFmtId="43" fontId="34" fillId="47" borderId="4" xfId="24" applyNumberFormat="1" applyFont="1" applyFill="1" applyBorder="1" applyAlignment="1">
      <alignment horizontal="center"/>
    </xf>
    <xf numFmtId="43" fontId="42" fillId="13" borderId="19" xfId="79" applyFont="1" applyFill="1" applyBorder="1" applyAlignment="1">
      <alignment horizontal="center" vertical="center"/>
    </xf>
    <xf numFmtId="43" fontId="42" fillId="13" borderId="10" xfId="79" applyFont="1" applyFill="1" applyBorder="1" applyAlignment="1">
      <alignment horizontal="center" vertical="center"/>
    </xf>
    <xf numFmtId="0" fontId="44" fillId="47" borderId="19" xfId="51" applyFont="1" applyFill="1" applyBorder="1" applyAlignment="1">
      <alignment horizontal="center" vertical="center"/>
    </xf>
    <xf numFmtId="0" fontId="44" fillId="47" borderId="10" xfId="51" applyFont="1" applyFill="1" applyBorder="1" applyAlignment="1">
      <alignment horizontal="center" vertical="center"/>
    </xf>
    <xf numFmtId="198" fontId="42" fillId="13" borderId="19" xfId="79" applyNumberFormat="1" applyFont="1" applyFill="1" applyBorder="1" applyAlignment="1">
      <alignment horizontal="center" vertical="center"/>
    </xf>
    <xf numFmtId="198" fontId="42" fillId="13" borderId="10" xfId="79" applyNumberFormat="1" applyFont="1" applyFill="1" applyBorder="1" applyAlignment="1">
      <alignment horizontal="center" vertical="center"/>
    </xf>
    <xf numFmtId="0" fontId="44" fillId="47" borderId="1" xfId="51" applyFont="1" applyFill="1" applyBorder="1" applyAlignment="1">
      <alignment horizontal="center"/>
    </xf>
    <xf numFmtId="0" fontId="44" fillId="47" borderId="3" xfId="51" applyFont="1" applyFill="1" applyBorder="1" applyAlignment="1">
      <alignment horizontal="center"/>
    </xf>
    <xf numFmtId="0" fontId="44" fillId="47" borderId="41" xfId="51" applyFont="1" applyFill="1" applyBorder="1" applyAlignment="1">
      <alignment horizontal="center"/>
    </xf>
    <xf numFmtId="0" fontId="44" fillId="47" borderId="24" xfId="51" applyFont="1" applyFill="1" applyBorder="1" applyAlignment="1">
      <alignment horizontal="center" vertical="center" wrapText="1"/>
    </xf>
    <xf numFmtId="0" fontId="44" fillId="47" borderId="18" xfId="51" applyFont="1" applyFill="1" applyBorder="1" applyAlignment="1">
      <alignment horizontal="center" vertical="center" wrapText="1"/>
    </xf>
    <xf numFmtId="0" fontId="44" fillId="47" borderId="19" xfId="51" applyFont="1" applyFill="1" applyBorder="1" applyAlignment="1">
      <alignment horizontal="center" vertical="center" wrapText="1"/>
    </xf>
    <xf numFmtId="0" fontId="44" fillId="47" borderId="10" xfId="51" applyFont="1" applyFill="1" applyBorder="1" applyAlignment="1">
      <alignment horizontal="center" vertical="center" wrapText="1"/>
    </xf>
    <xf numFmtId="2" fontId="71" fillId="13" borderId="0" xfId="79" applyNumberFormat="1" applyFont="1" applyFill="1" applyBorder="1" applyAlignment="1" applyProtection="1">
      <alignment horizontal="center"/>
      <protection hidden="1"/>
    </xf>
    <xf numFmtId="0" fontId="42" fillId="13" borderId="19" xfId="51" applyFont="1" applyFill="1" applyBorder="1" applyAlignment="1">
      <alignment horizontal="center" vertical="center"/>
    </xf>
    <xf numFmtId="0" fontId="42" fillId="13" borderId="10" xfId="51" applyFont="1" applyFill="1" applyBorder="1" applyAlignment="1">
      <alignment horizontal="center" vertical="center"/>
    </xf>
    <xf numFmtId="0" fontId="42" fillId="13" borderId="20" xfId="51" applyFont="1" applyFill="1" applyBorder="1" applyAlignment="1">
      <alignment horizontal="left" wrapText="1"/>
    </xf>
    <xf numFmtId="0" fontId="42" fillId="13" borderId="26" xfId="51" applyFont="1" applyFill="1" applyBorder="1" applyAlignment="1">
      <alignment horizontal="left" wrapText="1"/>
    </xf>
    <xf numFmtId="43" fontId="42" fillId="31" borderId="19" xfId="24" applyFont="1" applyFill="1" applyBorder="1" applyAlignment="1">
      <alignment horizontal="center" vertical="center"/>
    </xf>
    <xf numFmtId="43" fontId="42" fillId="31" borderId="10" xfId="24" applyFont="1" applyFill="1" applyBorder="1" applyAlignment="1">
      <alignment horizontal="center" vertical="center"/>
    </xf>
    <xf numFmtId="0" fontId="44" fillId="20" borderId="0" xfId="51" applyFont="1" applyFill="1" applyBorder="1" applyAlignment="1" applyProtection="1">
      <alignment horizontal="center" vertical="center"/>
    </xf>
    <xf numFmtId="205" fontId="187" fillId="20" borderId="0" xfId="51" applyNumberFormat="1" applyFont="1" applyFill="1" applyBorder="1" applyAlignment="1" applyProtection="1">
      <alignment horizontal="center" vertical="center"/>
    </xf>
    <xf numFmtId="0" fontId="60" fillId="0" borderId="0" xfId="0" applyFont="1" applyAlignment="1" applyProtection="1">
      <alignment horizontal="center" vertical="center"/>
    </xf>
    <xf numFmtId="0" fontId="60" fillId="13" borderId="0" xfId="0" applyFont="1" applyFill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vertical="center"/>
    </xf>
    <xf numFmtId="0" fontId="80" fillId="0" borderId="0" xfId="0" applyFont="1" applyAlignment="1" applyProtection="1">
      <alignment vertical="center"/>
    </xf>
    <xf numFmtId="0" fontId="75" fillId="0" borderId="0" xfId="0" applyFont="1" applyAlignment="1" applyProtection="1">
      <alignment horizontal="center" vertical="center"/>
    </xf>
    <xf numFmtId="43" fontId="49" fillId="0" borderId="0" xfId="24" applyFont="1" applyAlignment="1" applyProtection="1">
      <alignment horizontal="center" vertical="center"/>
      <protection hidden="1"/>
    </xf>
    <xf numFmtId="187" fontId="49" fillId="0" borderId="0" xfId="51" applyNumberFormat="1" applyFont="1" applyAlignment="1" applyProtection="1">
      <alignment horizontal="center" vertical="center"/>
    </xf>
    <xf numFmtId="0" fontId="49" fillId="0" borderId="0" xfId="51" applyFont="1" applyAlignment="1" applyProtection="1">
      <alignment horizontal="center" vertical="center"/>
    </xf>
    <xf numFmtId="43" fontId="49" fillId="0" borderId="0" xfId="24" applyFont="1" applyAlignment="1">
      <alignment vertical="center"/>
    </xf>
    <xf numFmtId="43" fontId="86" fillId="0" borderId="0" xfId="24" applyFont="1" applyAlignment="1" applyProtection="1">
      <alignment vertical="center"/>
      <protection hidden="1"/>
    </xf>
    <xf numFmtId="191" fontId="49" fillId="0" borderId="0" xfId="51" applyNumberFormat="1" applyFont="1" applyAlignment="1" applyProtection="1">
      <alignment horizontal="right" vertical="center"/>
    </xf>
    <xf numFmtId="4" fontId="49" fillId="0" borderId="0" xfId="51" applyNumberFormat="1" applyFont="1" applyAlignment="1" applyProtection="1">
      <alignment horizontal="right" vertical="center"/>
    </xf>
    <xf numFmtId="43" fontId="49" fillId="0" borderId="0" xfId="24" applyFont="1" applyAlignment="1">
      <alignment horizontal="center" vertical="center"/>
    </xf>
    <xf numFmtId="43" fontId="49" fillId="0" borderId="0" xfId="24" applyNumberFormat="1" applyFont="1" applyAlignment="1" applyProtection="1">
      <alignment horizontal="center" vertical="center"/>
      <protection hidden="1"/>
    </xf>
    <xf numFmtId="43" fontId="49" fillId="0" borderId="0" xfId="51" applyNumberFormat="1" applyFont="1" applyAlignment="1" applyProtection="1">
      <alignment horizontal="center" vertical="center"/>
    </xf>
    <xf numFmtId="4" fontId="49" fillId="0" borderId="0" xfId="51" applyNumberFormat="1" applyFont="1" applyAlignment="1" applyProtection="1">
      <alignment vertical="center"/>
    </xf>
    <xf numFmtId="43" fontId="86" fillId="0" borderId="0" xfId="24" applyFont="1" applyAlignment="1" applyProtection="1">
      <alignment horizontal="center" vertical="center"/>
      <protection hidden="1"/>
    </xf>
    <xf numFmtId="43" fontId="49" fillId="0" borderId="0" xfId="24" applyFont="1" applyAlignment="1" applyProtection="1">
      <alignment horizontal="center" vertical="center"/>
    </xf>
    <xf numFmtId="43" fontId="86" fillId="0" borderId="0" xfId="24" applyNumberFormat="1" applyFont="1" applyAlignment="1" applyProtection="1">
      <alignment horizontal="center" vertical="center"/>
      <protection hidden="1"/>
    </xf>
    <xf numFmtId="43" fontId="86" fillId="0" borderId="0" xfId="24" applyFont="1" applyAlignment="1">
      <alignment horizontal="center"/>
    </xf>
    <xf numFmtId="0" fontId="60" fillId="13" borderId="0" xfId="51" applyFont="1" applyFill="1" applyAlignment="1" applyProtection="1">
      <alignment horizontal="center" vertical="center"/>
      <protection locked="0"/>
    </xf>
    <xf numFmtId="0" fontId="75" fillId="0" borderId="0" xfId="51" applyFont="1" applyAlignment="1" applyProtection="1">
      <alignment horizontal="center" vertical="center"/>
    </xf>
    <xf numFmtId="0" fontId="86" fillId="0" borderId="0" xfId="51" applyFont="1" applyAlignment="1" applyProtection="1">
      <alignment horizontal="center" vertical="center"/>
      <protection hidden="1"/>
    </xf>
    <xf numFmtId="43" fontId="129" fillId="0" borderId="0" xfId="24" applyFont="1" applyAlignment="1" applyProtection="1">
      <alignment horizontal="center"/>
    </xf>
    <xf numFmtId="43" fontId="130" fillId="0" borderId="0" xfId="24" applyNumberFormat="1" applyFont="1" applyAlignment="1" applyProtection="1">
      <alignment horizontal="center" vertical="center"/>
      <protection hidden="1"/>
    </xf>
    <xf numFmtId="0" fontId="44" fillId="0" borderId="0" xfId="51" applyFont="1" applyFill="1" applyAlignment="1" applyProtection="1">
      <alignment horizontal="center" vertical="center"/>
    </xf>
    <xf numFmtId="0" fontId="44" fillId="0" borderId="0" xfId="51" applyFont="1" applyFill="1" applyAlignment="1" applyProtection="1">
      <alignment horizontal="center" vertical="center"/>
      <protection locked="0"/>
    </xf>
    <xf numFmtId="0" fontId="92" fillId="0" borderId="0" xfId="51" applyFont="1" applyAlignment="1" applyProtection="1">
      <alignment horizontal="center" vertical="center"/>
    </xf>
    <xf numFmtId="0" fontId="94" fillId="0" borderId="0" xfId="51" applyFont="1" applyFill="1" applyBorder="1" applyAlignment="1" applyProtection="1">
      <alignment horizontal="center" vertical="center"/>
    </xf>
    <xf numFmtId="39" fontId="85" fillId="0" borderId="0" xfId="51" applyNumberFormat="1" applyFont="1" applyFill="1" applyAlignment="1" applyProtection="1">
      <alignment horizontal="center" vertical="center"/>
    </xf>
    <xf numFmtId="0" fontId="67" fillId="0" borderId="0" xfId="0" applyFont="1" applyAlignment="1" applyProtection="1">
      <alignment horizontal="center" vertical="center"/>
      <protection hidden="1"/>
    </xf>
    <xf numFmtId="0" fontId="86" fillId="0" borderId="0" xfId="0" applyFont="1" applyAlignment="1" applyProtection="1">
      <alignment horizontal="center" vertical="center"/>
      <protection hidden="1"/>
    </xf>
    <xf numFmtId="0" fontId="94" fillId="0" borderId="0" xfId="51" applyFont="1" applyAlignment="1" applyProtection="1">
      <alignment horizontal="center" vertical="center"/>
    </xf>
    <xf numFmtId="43" fontId="43" fillId="0" borderId="42" xfId="24" applyFont="1" applyFill="1" applyBorder="1" applyAlignment="1">
      <alignment horizontal="center" vertical="center"/>
    </xf>
    <xf numFmtId="0" fontId="34" fillId="0" borderId="0" xfId="51" applyFont="1" applyFill="1" applyAlignment="1" applyProtection="1">
      <alignment horizontal="center" vertical="center"/>
    </xf>
    <xf numFmtId="0" fontId="34" fillId="0" borderId="0" xfId="51" applyFont="1" applyFill="1" applyAlignment="1" applyProtection="1">
      <alignment horizontal="center" vertical="center"/>
      <protection locked="0"/>
    </xf>
    <xf numFmtId="0" fontId="34" fillId="0" borderId="4" xfId="0" applyFont="1" applyBorder="1" applyAlignment="1">
      <alignment horizontal="center"/>
    </xf>
    <xf numFmtId="2" fontId="34" fillId="29" borderId="4" xfId="0" applyNumberFormat="1" applyFont="1" applyFill="1" applyBorder="1" applyAlignment="1">
      <alignment horizontal="center"/>
    </xf>
    <xf numFmtId="0" fontId="150" fillId="43" borderId="4" xfId="0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89" fontId="34" fillId="0" borderId="4" xfId="0" applyNumberFormat="1" applyFont="1" applyBorder="1" applyAlignment="1">
      <alignment horizontal="center"/>
    </xf>
    <xf numFmtId="0" fontId="34" fillId="29" borderId="4" xfId="0" applyFont="1" applyFill="1" applyBorder="1" applyAlignment="1">
      <alignment horizontal="center"/>
    </xf>
    <xf numFmtId="2" fontId="34" fillId="29" borderId="1" xfId="0" applyNumberFormat="1" applyFont="1" applyFill="1" applyBorder="1" applyAlignment="1">
      <alignment horizontal="center"/>
    </xf>
    <xf numFmtId="2" fontId="34" fillId="29" borderId="41" xfId="0" applyNumberFormat="1" applyFont="1" applyFill="1" applyBorder="1" applyAlignment="1">
      <alignment horizontal="center"/>
    </xf>
    <xf numFmtId="0" fontId="34" fillId="35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40" borderId="1" xfId="0" applyFont="1" applyFill="1" applyBorder="1" applyAlignment="1">
      <alignment horizontal="center" vertical="center"/>
    </xf>
    <xf numFmtId="0" fontId="34" fillId="40" borderId="41" xfId="0" applyFont="1" applyFill="1" applyBorder="1" applyAlignment="1">
      <alignment horizontal="center" vertical="center"/>
    </xf>
    <xf numFmtId="0" fontId="34" fillId="40" borderId="4" xfId="0" applyFont="1" applyFill="1" applyBorder="1" applyAlignment="1">
      <alignment horizontal="center" vertical="center"/>
    </xf>
    <xf numFmtId="0" fontId="34" fillId="29" borderId="1" xfId="0" applyFont="1" applyFill="1" applyBorder="1" applyAlignment="1">
      <alignment horizontal="center"/>
    </xf>
    <xf numFmtId="0" fontId="34" fillId="29" borderId="41" xfId="0" applyFont="1" applyFill="1" applyBorder="1" applyAlignment="1">
      <alignment horizontal="center"/>
    </xf>
    <xf numFmtId="0" fontId="44" fillId="35" borderId="1" xfId="0" applyFont="1" applyFill="1" applyBorder="1" applyAlignment="1">
      <alignment horizontal="center" vertical="center"/>
    </xf>
    <xf numFmtId="0" fontId="44" fillId="35" borderId="41" xfId="0" applyFont="1" applyFill="1" applyBorder="1" applyAlignment="1">
      <alignment horizontal="center" vertical="center"/>
    </xf>
    <xf numFmtId="0" fontId="44" fillId="35" borderId="4" xfId="0" applyFont="1" applyFill="1" applyBorder="1" applyAlignment="1">
      <alignment horizontal="center" vertical="center"/>
    </xf>
    <xf numFmtId="0" fontId="1" fillId="35" borderId="4" xfId="0" applyFont="1" applyFill="1" applyBorder="1" applyAlignment="1">
      <alignment horizontal="center" vertical="center"/>
    </xf>
    <xf numFmtId="0" fontId="35" fillId="35" borderId="19" xfId="0" applyFont="1" applyFill="1" applyBorder="1" applyAlignment="1">
      <alignment horizontal="center" vertical="center"/>
    </xf>
    <xf numFmtId="0" fontId="35" fillId="35" borderId="10" xfId="0" applyFont="1" applyFill="1" applyBorder="1" applyAlignment="1">
      <alignment horizontal="center" vertical="center"/>
    </xf>
    <xf numFmtId="0" fontId="44" fillId="35" borderId="19" xfId="0" applyFont="1" applyFill="1" applyBorder="1" applyAlignment="1">
      <alignment horizontal="center" vertical="center" wrapText="1"/>
    </xf>
    <xf numFmtId="0" fontId="44" fillId="35" borderId="10" xfId="0" applyFont="1" applyFill="1" applyBorder="1" applyAlignment="1">
      <alignment horizontal="center" vertical="center" wrapText="1"/>
    </xf>
    <xf numFmtId="0" fontId="34" fillId="35" borderId="4" xfId="0" applyFont="1" applyFill="1" applyBorder="1" applyAlignment="1">
      <alignment horizontal="center" vertical="center" wrapText="1"/>
    </xf>
    <xf numFmtId="0" fontId="34" fillId="35" borderId="1" xfId="0" applyFont="1" applyFill="1" applyBorder="1" applyAlignment="1">
      <alignment horizontal="center" vertical="center" wrapText="1"/>
    </xf>
    <xf numFmtId="0" fontId="34" fillId="35" borderId="3" xfId="0" applyFont="1" applyFill="1" applyBorder="1" applyAlignment="1">
      <alignment horizontal="center" vertical="center" wrapText="1"/>
    </xf>
    <xf numFmtId="0" fontId="34" fillId="35" borderId="4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0" fontId="150" fillId="43" borderId="1" xfId="0" applyFont="1" applyFill="1" applyBorder="1" applyAlignment="1">
      <alignment horizontal="center"/>
    </xf>
    <xf numFmtId="0" fontId="150" fillId="43" borderId="41" xfId="0" applyFont="1" applyFill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2" fontId="34" fillId="0" borderId="41" xfId="0" applyNumberFormat="1" applyFont="1" applyBorder="1" applyAlignment="1">
      <alignment horizontal="center"/>
    </xf>
    <xf numFmtId="189" fontId="34" fillId="0" borderId="1" xfId="0" applyNumberFormat="1" applyFont="1" applyBorder="1" applyAlignment="1">
      <alignment horizontal="center"/>
    </xf>
    <xf numFmtId="189" fontId="34" fillId="0" borderId="41" xfId="0" applyNumberFormat="1" applyFont="1" applyBorder="1" applyAlignment="1">
      <alignment horizontal="center"/>
    </xf>
    <xf numFmtId="39" fontId="102" fillId="35" borderId="19" xfId="54" applyFont="1" applyFill="1" applyBorder="1" applyAlignment="1">
      <alignment horizontal="center" vertical="center"/>
    </xf>
    <xf numFmtId="39" fontId="102" fillId="35" borderId="10" xfId="54" applyFont="1" applyFill="1" applyBorder="1" applyAlignment="1">
      <alignment horizontal="center" vertical="center"/>
    </xf>
    <xf numFmtId="39" fontId="100" fillId="0" borderId="39" xfId="54" applyFont="1" applyBorder="1" applyAlignment="1">
      <alignment horizontal="center"/>
    </xf>
    <xf numFmtId="39" fontId="100" fillId="0" borderId="43" xfId="54" applyFont="1" applyBorder="1" applyAlignment="1">
      <alignment horizontal="center"/>
    </xf>
    <xf numFmtId="2" fontId="102" fillId="35" borderId="1" xfId="0" applyNumberFormat="1" applyFont="1" applyFill="1" applyBorder="1" applyAlignment="1">
      <alignment horizontal="center"/>
    </xf>
    <xf numFmtId="2" fontId="102" fillId="35" borderId="41" xfId="0" applyNumberFormat="1" applyFont="1" applyFill="1" applyBorder="1" applyAlignment="1">
      <alignment horizontal="center"/>
    </xf>
    <xf numFmtId="0" fontId="207" fillId="0" borderId="0" xfId="0" applyFont="1" applyAlignment="1">
      <alignment horizontal="center"/>
    </xf>
    <xf numFmtId="0" fontId="208" fillId="8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1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3" fontId="0" fillId="0" borderId="19" xfId="24" applyFont="1" applyBorder="1" applyAlignment="1">
      <alignment horizontal="center" vertical="center" wrapText="1"/>
    </xf>
    <xf numFmtId="43" fontId="0" fillId="0" borderId="5" xfId="24" applyFont="1" applyBorder="1" applyAlignment="1">
      <alignment horizontal="center" vertical="center" wrapText="1"/>
    </xf>
    <xf numFmtId="43" fontId="0" fillId="0" borderId="10" xfId="24" applyFont="1" applyBorder="1" applyAlignment="1">
      <alignment horizontal="center" vertical="center" wrapText="1"/>
    </xf>
    <xf numFmtId="2" fontId="102" fillId="35" borderId="19" xfId="54" applyNumberFormat="1" applyFont="1" applyFill="1" applyBorder="1" applyAlignment="1" applyProtection="1">
      <alignment horizontal="center" vertical="center"/>
    </xf>
    <xf numFmtId="2" fontId="102" fillId="35" borderId="10" xfId="54" applyNumberFormat="1" applyFont="1" applyFill="1" applyBorder="1" applyAlignment="1" applyProtection="1">
      <alignment horizontal="center" vertical="center"/>
    </xf>
    <xf numFmtId="0" fontId="44" fillId="36" borderId="4" xfId="0" applyFont="1" applyFill="1" applyBorder="1" applyAlignment="1">
      <alignment horizontal="center" vertical="center"/>
    </xf>
    <xf numFmtId="189" fontId="214" fillId="0" borderId="0" xfId="0" applyNumberFormat="1" applyFont="1" applyBorder="1" applyAlignment="1">
      <alignment horizontal="center"/>
    </xf>
    <xf numFmtId="0" fontId="44" fillId="36" borderId="1" xfId="0" applyFont="1" applyFill="1" applyBorder="1" applyAlignment="1">
      <alignment horizontal="center" vertical="center"/>
    </xf>
    <xf numFmtId="0" fontId="44" fillId="36" borderId="3" xfId="0" applyFont="1" applyFill="1" applyBorder="1" applyAlignment="1">
      <alignment horizontal="center" vertical="center"/>
    </xf>
    <xf numFmtId="0" fontId="44" fillId="36" borderId="41" xfId="0" applyFont="1" applyFill="1" applyBorder="1" applyAlignment="1">
      <alignment horizontal="center" vertical="center"/>
    </xf>
    <xf numFmtId="0" fontId="214" fillId="0" borderId="0" xfId="0" applyFont="1" applyBorder="1" applyAlignment="1">
      <alignment horizontal="center"/>
    </xf>
    <xf numFmtId="0" fontId="44" fillId="36" borderId="19" xfId="0" applyFont="1" applyFill="1" applyBorder="1" applyAlignment="1">
      <alignment horizontal="center" vertical="center"/>
    </xf>
    <xf numFmtId="0" fontId="44" fillId="36" borderId="5" xfId="0" applyFont="1" applyFill="1" applyBorder="1" applyAlignment="1">
      <alignment horizontal="center" vertical="center"/>
    </xf>
    <xf numFmtId="0" fontId="44" fillId="36" borderId="10" xfId="0" applyFont="1" applyFill="1" applyBorder="1" applyAlignment="1">
      <alignment horizontal="center" vertical="center"/>
    </xf>
    <xf numFmtId="0" fontId="44" fillId="36" borderId="10" xfId="0" applyFont="1" applyFill="1" applyBorder="1" applyAlignment="1">
      <alignment horizontal="center"/>
    </xf>
    <xf numFmtId="0" fontId="44" fillId="36" borderId="4" xfId="0" applyFont="1" applyFill="1" applyBorder="1" applyAlignment="1">
      <alignment horizontal="center"/>
    </xf>
    <xf numFmtId="189" fontId="214" fillId="0" borderId="32" xfId="0" applyNumberFormat="1" applyFont="1" applyBorder="1" applyAlignment="1">
      <alignment horizontal="center"/>
    </xf>
    <xf numFmtId="200" fontId="214" fillId="0" borderId="0" xfId="0" applyNumberFormat="1" applyFont="1" applyBorder="1" applyAlignment="1">
      <alignment horizontal="center"/>
    </xf>
    <xf numFmtId="199" fontId="47" fillId="0" borderId="1" xfId="84" applyNumberFormat="1" applyFont="1" applyBorder="1" applyAlignment="1">
      <alignment horizontal="center"/>
    </xf>
    <xf numFmtId="199" fontId="47" fillId="0" borderId="3" xfId="84" applyNumberFormat="1" applyFont="1" applyBorder="1" applyAlignment="1">
      <alignment horizontal="center"/>
    </xf>
    <xf numFmtId="199" fontId="47" fillId="0" borderId="41" xfId="84" applyNumberFormat="1" applyFont="1" applyBorder="1" applyAlignment="1">
      <alignment horizontal="center"/>
    </xf>
    <xf numFmtId="0" fontId="66" fillId="37" borderId="1" xfId="84" applyFont="1" applyFill="1" applyBorder="1" applyAlignment="1">
      <alignment horizontal="center" vertical="center"/>
    </xf>
    <xf numFmtId="0" fontId="66" fillId="37" borderId="3" xfId="84" applyFont="1" applyFill="1" applyBorder="1" applyAlignment="1">
      <alignment horizontal="center" vertical="center"/>
    </xf>
    <xf numFmtId="0" fontId="66" fillId="37" borderId="41" xfId="84" applyFont="1" applyFill="1" applyBorder="1" applyAlignment="1">
      <alignment horizontal="center" vertical="center"/>
    </xf>
    <xf numFmtId="0" fontId="66" fillId="37" borderId="4" xfId="84" applyFont="1" applyFill="1" applyBorder="1" applyAlignment="1">
      <alignment horizontal="center" vertical="center" wrapText="1"/>
    </xf>
    <xf numFmtId="0" fontId="66" fillId="37" borderId="4" xfId="84" applyFont="1" applyFill="1" applyBorder="1" applyAlignment="1">
      <alignment horizontal="center"/>
    </xf>
    <xf numFmtId="0" fontId="66" fillId="37" borderId="4" xfId="84" applyFont="1" applyFill="1" applyBorder="1" applyAlignment="1">
      <alignment horizontal="center" vertical="center"/>
    </xf>
    <xf numFmtId="0" fontId="66" fillId="37" borderId="1" xfId="84" applyFont="1" applyFill="1" applyBorder="1" applyAlignment="1">
      <alignment horizontal="center"/>
    </xf>
    <xf numFmtId="0" fontId="66" fillId="37" borderId="3" xfId="84" applyFont="1" applyFill="1" applyBorder="1" applyAlignment="1">
      <alignment horizontal="center"/>
    </xf>
    <xf numFmtId="0" fontId="66" fillId="37" borderId="41" xfId="84" applyFont="1" applyFill="1" applyBorder="1" applyAlignment="1">
      <alignment horizontal="center"/>
    </xf>
    <xf numFmtId="0" fontId="47" fillId="0" borderId="4" xfId="84" applyFont="1" applyBorder="1" applyAlignment="1">
      <alignment horizontal="center"/>
    </xf>
    <xf numFmtId="0" fontId="71" fillId="0" borderId="0" xfId="84" applyFont="1" applyAlignment="1">
      <alignment horizontal="center"/>
    </xf>
    <xf numFmtId="0" fontId="66" fillId="0" borderId="4" xfId="84" applyFont="1" applyBorder="1" applyAlignment="1">
      <alignment horizontal="center"/>
    </xf>
    <xf numFmtId="0" fontId="42" fillId="0" borderId="146" xfId="0" applyFont="1" applyBorder="1" applyAlignment="1">
      <alignment horizontal="center"/>
    </xf>
    <xf numFmtId="0" fontId="42" fillId="0" borderId="147" xfId="0" applyFont="1" applyBorder="1" applyAlignment="1">
      <alignment horizontal="center"/>
    </xf>
    <xf numFmtId="0" fontId="193" fillId="25" borderId="140" xfId="0" applyFont="1" applyFill="1" applyBorder="1" applyAlignment="1">
      <alignment horizontal="center"/>
    </xf>
    <xf numFmtId="0" fontId="193" fillId="25" borderId="33" xfId="0" applyFont="1" applyFill="1" applyBorder="1" applyAlignment="1">
      <alignment horizontal="center"/>
    </xf>
    <xf numFmtId="0" fontId="42" fillId="0" borderId="4" xfId="0" applyFont="1" applyFill="1" applyBorder="1" applyAlignment="1" applyProtection="1">
      <alignment horizontal="center"/>
    </xf>
    <xf numFmtId="43" fontId="90" fillId="8" borderId="4" xfId="77" applyFont="1" applyFill="1" applyBorder="1" applyAlignment="1">
      <alignment horizontal="center" vertical="center"/>
    </xf>
    <xf numFmtId="0" fontId="42" fillId="0" borderId="4" xfId="0" applyFont="1" applyBorder="1" applyAlignment="1">
      <alignment horizontal="center"/>
    </xf>
    <xf numFmtId="0" fontId="44" fillId="26" borderId="1" xfId="51" applyFont="1" applyFill="1" applyBorder="1" applyAlignment="1">
      <alignment horizontal="center" vertical="center"/>
    </xf>
    <xf numFmtId="0" fontId="44" fillId="26" borderId="3" xfId="51" applyFont="1" applyFill="1" applyBorder="1" applyAlignment="1">
      <alignment horizontal="center" vertical="center"/>
    </xf>
    <xf numFmtId="0" fontId="44" fillId="26" borderId="41" xfId="51" applyFont="1" applyFill="1" applyBorder="1" applyAlignment="1">
      <alignment horizontal="center" vertical="center"/>
    </xf>
    <xf numFmtId="0" fontId="44" fillId="26" borderId="4" xfId="0" applyFont="1" applyFill="1" applyBorder="1" applyAlignment="1">
      <alignment horizontal="center"/>
    </xf>
    <xf numFmtId="0" fontId="44" fillId="26" borderId="19" xfId="0" applyFont="1" applyFill="1" applyBorder="1" applyAlignment="1">
      <alignment horizontal="center" vertical="center"/>
    </xf>
    <xf numFmtId="0" fontId="44" fillId="26" borderId="5" xfId="0" applyFont="1" applyFill="1" applyBorder="1" applyAlignment="1">
      <alignment horizontal="center" vertical="center"/>
    </xf>
    <xf numFmtId="0" fontId="75" fillId="26" borderId="4" xfId="51" applyFont="1" applyFill="1" applyBorder="1" applyAlignment="1">
      <alignment horizontal="center" vertical="center"/>
    </xf>
    <xf numFmtId="0" fontId="42" fillId="0" borderId="66" xfId="51" applyFont="1" applyFill="1" applyBorder="1" applyAlignment="1">
      <alignment horizontal="center"/>
    </xf>
    <xf numFmtId="0" fontId="42" fillId="0" borderId="144" xfId="51" applyFont="1" applyFill="1" applyBorder="1" applyAlignment="1">
      <alignment horizontal="center"/>
    </xf>
    <xf numFmtId="0" fontId="66" fillId="24" borderId="39" xfId="51" applyFont="1" applyFill="1" applyBorder="1" applyAlignment="1">
      <alignment horizontal="center"/>
    </xf>
    <xf numFmtId="0" fontId="66" fillId="24" borderId="28" xfId="51" applyFont="1" applyFill="1" applyBorder="1" applyAlignment="1">
      <alignment horizontal="center"/>
    </xf>
    <xf numFmtId="0" fontId="66" fillId="24" borderId="43" xfId="51" applyFont="1" applyFill="1" applyBorder="1" applyAlignment="1">
      <alignment horizontal="center"/>
    </xf>
    <xf numFmtId="0" fontId="49" fillId="0" borderId="4" xfId="51" applyFont="1" applyBorder="1" applyAlignment="1">
      <alignment horizontal="center" vertical="center"/>
    </xf>
    <xf numFmtId="4" fontId="42" fillId="0" borderId="34" xfId="51" applyNumberFormat="1" applyFont="1" applyBorder="1" applyAlignment="1">
      <alignment horizontal="center" vertical="center"/>
    </xf>
    <xf numFmtId="0" fontId="42" fillId="0" borderId="35" xfId="51" applyFont="1" applyBorder="1" applyAlignment="1">
      <alignment horizontal="center" vertical="center"/>
    </xf>
    <xf numFmtId="4" fontId="147" fillId="43" borderId="34" xfId="51" applyNumberFormat="1" applyFont="1" applyFill="1" applyBorder="1" applyAlignment="1">
      <alignment horizontal="center" vertical="center"/>
    </xf>
    <xf numFmtId="4" fontId="147" fillId="43" borderId="35" xfId="51" applyNumberFormat="1" applyFont="1" applyFill="1" applyBorder="1" applyAlignment="1">
      <alignment horizontal="center" vertical="center"/>
    </xf>
    <xf numFmtId="4" fontId="42" fillId="0" borderId="35" xfId="51" applyNumberFormat="1" applyFont="1" applyBorder="1" applyAlignment="1">
      <alignment horizontal="center" vertical="center"/>
    </xf>
    <xf numFmtId="4" fontId="42" fillId="0" borderId="39" xfId="51" applyNumberFormat="1" applyFont="1" applyBorder="1" applyAlignment="1">
      <alignment horizontal="center" vertical="center"/>
    </xf>
    <xf numFmtId="0" fontId="42" fillId="0" borderId="43" xfId="51" applyFont="1" applyBorder="1" applyAlignment="1">
      <alignment horizontal="center" vertical="center"/>
    </xf>
    <xf numFmtId="0" fontId="147" fillId="43" borderId="34" xfId="51" applyFont="1" applyFill="1" applyBorder="1" applyAlignment="1">
      <alignment horizontal="center" vertical="center"/>
    </xf>
    <xf numFmtId="0" fontId="147" fillId="43" borderId="35" xfId="51" applyFont="1" applyFill="1" applyBorder="1" applyAlignment="1">
      <alignment horizontal="center" vertical="center"/>
    </xf>
    <xf numFmtId="43" fontId="42" fillId="0" borderId="34" xfId="24" applyFont="1" applyBorder="1" applyAlignment="1">
      <alignment horizontal="center"/>
    </xf>
    <xf numFmtId="43" fontId="42" fillId="0" borderId="35" xfId="24" applyFont="1" applyBorder="1" applyAlignment="1">
      <alignment horizontal="center"/>
    </xf>
    <xf numFmtId="0" fontId="75" fillId="24" borderId="1" xfId="51" applyFont="1" applyFill="1" applyBorder="1" applyAlignment="1">
      <alignment horizontal="center" vertical="center"/>
    </xf>
    <xf numFmtId="0" fontId="75" fillId="24" borderId="41" xfId="51" applyFont="1" applyFill="1" applyBorder="1" applyAlignment="1">
      <alignment horizontal="center" vertical="center"/>
    </xf>
    <xf numFmtId="43" fontId="42" fillId="0" borderId="34" xfId="51" applyNumberFormat="1" applyFont="1" applyBorder="1" applyAlignment="1">
      <alignment horizontal="center" vertical="center"/>
    </xf>
    <xf numFmtId="43" fontId="49" fillId="0" borderId="31" xfId="24" applyNumberFormat="1" applyFont="1" applyBorder="1" applyAlignment="1">
      <alignment horizontal="center" vertical="center"/>
    </xf>
    <xf numFmtId="43" fontId="49" fillId="0" borderId="33" xfId="24" applyNumberFormat="1" applyFont="1" applyBorder="1" applyAlignment="1">
      <alignment horizontal="center" vertical="center"/>
    </xf>
    <xf numFmtId="0" fontId="150" fillId="44" borderId="1" xfId="51" applyFont="1" applyFill="1" applyBorder="1" applyAlignment="1">
      <alignment horizontal="center" vertical="center"/>
    </xf>
    <xf numFmtId="0" fontId="150" fillId="44" borderId="3" xfId="51" applyFont="1" applyFill="1" applyBorder="1" applyAlignment="1">
      <alignment horizontal="center" vertical="center"/>
    </xf>
    <xf numFmtId="0" fontId="150" fillId="44" borderId="41" xfId="51" applyFont="1" applyFill="1" applyBorder="1" applyAlignment="1">
      <alignment horizontal="center" vertical="center"/>
    </xf>
    <xf numFmtId="0" fontId="34" fillId="24" borderId="83" xfId="51" applyFont="1" applyFill="1" applyBorder="1" applyAlignment="1">
      <alignment horizontal="center" vertical="center"/>
    </xf>
    <xf numFmtId="0" fontId="34" fillId="24" borderId="95" xfId="51" applyFont="1" applyFill="1" applyBorder="1" applyAlignment="1">
      <alignment horizontal="center" vertical="center"/>
    </xf>
    <xf numFmtId="0" fontId="34" fillId="24" borderId="96" xfId="51" applyFont="1" applyFill="1" applyBorder="1" applyAlignment="1">
      <alignment horizontal="center" vertical="center"/>
    </xf>
    <xf numFmtId="0" fontId="34" fillId="24" borderId="31" xfId="51" applyFont="1" applyFill="1" applyBorder="1" applyAlignment="1">
      <alignment horizontal="center" vertical="center"/>
    </xf>
    <xf numFmtId="0" fontId="34" fillId="24" borderId="32" xfId="51" applyFont="1" applyFill="1" applyBorder="1" applyAlignment="1">
      <alignment horizontal="center" vertical="center"/>
    </xf>
    <xf numFmtId="0" fontId="34" fillId="24" borderId="33" xfId="51" applyFont="1" applyFill="1" applyBorder="1" applyAlignment="1">
      <alignment horizontal="center" vertical="center"/>
    </xf>
    <xf numFmtId="0" fontId="66" fillId="24" borderId="73" xfId="51" applyFont="1" applyFill="1" applyBorder="1" applyAlignment="1">
      <alignment horizontal="center"/>
    </xf>
    <xf numFmtId="0" fontId="66" fillId="24" borderId="92" xfId="51" applyFont="1" applyFill="1" applyBorder="1" applyAlignment="1">
      <alignment horizontal="center"/>
    </xf>
    <xf numFmtId="0" fontId="66" fillId="24" borderId="93" xfId="51" applyFont="1" applyFill="1" applyBorder="1" applyAlignment="1">
      <alignment horizontal="center"/>
    </xf>
    <xf numFmtId="0" fontId="188" fillId="24" borderId="47" xfId="51" applyFont="1" applyFill="1" applyBorder="1" applyAlignment="1" applyProtection="1">
      <alignment horizontal="center" vertical="center"/>
    </xf>
    <xf numFmtId="0" fontId="188" fillId="24" borderId="50" xfId="51" applyFont="1" applyFill="1" applyBorder="1" applyAlignment="1" applyProtection="1">
      <alignment horizontal="center" vertical="center"/>
    </xf>
    <xf numFmtId="0" fontId="188" fillId="24" borderId="45" xfId="51" applyFont="1" applyFill="1" applyBorder="1" applyAlignment="1">
      <alignment horizontal="center" vertical="center"/>
    </xf>
    <xf numFmtId="0" fontId="188" fillId="24" borderId="52" xfId="51" applyFont="1" applyFill="1" applyBorder="1" applyAlignment="1">
      <alignment horizontal="center" vertical="center"/>
    </xf>
    <xf numFmtId="0" fontId="44" fillId="24" borderId="48" xfId="51" applyFont="1" applyFill="1" applyBorder="1" applyAlignment="1">
      <alignment horizontal="center" vertical="center" wrapText="1"/>
    </xf>
    <xf numFmtId="0" fontId="44" fillId="24" borderId="51" xfId="51" applyFont="1" applyFill="1" applyBorder="1" applyAlignment="1">
      <alignment horizontal="center" vertical="center" wrapText="1"/>
    </xf>
    <xf numFmtId="0" fontId="44" fillId="24" borderId="49" xfId="51" applyFont="1" applyFill="1" applyBorder="1" applyAlignment="1">
      <alignment horizontal="center" vertical="center" wrapText="1"/>
    </xf>
    <xf numFmtId="0" fontId="44" fillId="24" borderId="53" xfId="51" applyFont="1" applyFill="1" applyBorder="1" applyAlignment="1">
      <alignment horizontal="center" vertical="center" wrapText="1"/>
    </xf>
    <xf numFmtId="0" fontId="44" fillId="24" borderId="86" xfId="51" applyFont="1" applyFill="1" applyBorder="1" applyAlignment="1">
      <alignment horizontal="center" vertical="center" wrapText="1"/>
    </xf>
    <xf numFmtId="0" fontId="44" fillId="24" borderId="80" xfId="51" applyFont="1" applyFill="1" applyBorder="1" applyAlignment="1">
      <alignment horizontal="center" vertical="center" wrapText="1"/>
    </xf>
    <xf numFmtId="0" fontId="44" fillId="24" borderId="39" xfId="51" applyFont="1" applyFill="1" applyBorder="1" applyAlignment="1">
      <alignment horizontal="center" vertical="center"/>
    </xf>
    <xf numFmtId="0" fontId="44" fillId="24" borderId="28" xfId="51" applyFont="1" applyFill="1" applyBorder="1" applyAlignment="1">
      <alignment horizontal="center" vertical="center"/>
    </xf>
    <xf numFmtId="0" fontId="44" fillId="24" borderId="43" xfId="51" applyFont="1" applyFill="1" applyBorder="1" applyAlignment="1">
      <alignment horizontal="center" vertical="center"/>
    </xf>
    <xf numFmtId="0" fontId="44" fillId="24" borderId="31" xfId="51" applyFont="1" applyFill="1" applyBorder="1" applyAlignment="1">
      <alignment horizontal="center" vertical="center"/>
    </xf>
    <xf numFmtId="0" fontId="44" fillId="24" borderId="32" xfId="51" applyFont="1" applyFill="1" applyBorder="1" applyAlignment="1">
      <alignment horizontal="center" vertical="center"/>
    </xf>
    <xf numFmtId="0" fontId="44" fillId="24" borderId="33" xfId="51" applyFont="1" applyFill="1" applyBorder="1" applyAlignment="1">
      <alignment horizontal="center" vertical="center"/>
    </xf>
    <xf numFmtId="0" fontId="75" fillId="24" borderId="39" xfId="51" applyFont="1" applyFill="1" applyBorder="1" applyAlignment="1">
      <alignment horizontal="center" vertical="center" wrapText="1"/>
    </xf>
    <xf numFmtId="0" fontId="75" fillId="24" borderId="43" xfId="51" applyFont="1" applyFill="1" applyBorder="1" applyAlignment="1">
      <alignment horizontal="center" vertical="center" wrapText="1"/>
    </xf>
    <xf numFmtId="0" fontId="75" fillId="24" borderId="31" xfId="51" applyFont="1" applyFill="1" applyBorder="1" applyAlignment="1">
      <alignment horizontal="center" vertical="center" wrapText="1"/>
    </xf>
    <xf numFmtId="0" fontId="75" fillId="24" borderId="33" xfId="51" applyFont="1" applyFill="1" applyBorder="1" applyAlignment="1">
      <alignment horizontal="center" vertical="center" wrapText="1"/>
    </xf>
    <xf numFmtId="43" fontId="192" fillId="8" borderId="18" xfId="77" applyFont="1" applyFill="1" applyBorder="1" applyAlignment="1">
      <alignment horizontal="center"/>
    </xf>
    <xf numFmtId="43" fontId="192" fillId="8" borderId="26" xfId="77" applyFont="1" applyFill="1" applyBorder="1" applyAlignment="1">
      <alignment horizontal="center"/>
    </xf>
    <xf numFmtId="0" fontId="44" fillId="24" borderId="43" xfId="51" applyFont="1" applyFill="1" applyBorder="1" applyAlignment="1">
      <alignment horizontal="center" vertical="center" wrapText="1"/>
    </xf>
    <xf numFmtId="0" fontId="44" fillId="24" borderId="33" xfId="51" applyFont="1" applyFill="1" applyBorder="1" applyAlignment="1">
      <alignment horizontal="center" vertical="center" wrapText="1"/>
    </xf>
    <xf numFmtId="0" fontId="40" fillId="25" borderId="34" xfId="51" applyFont="1" applyFill="1" applyBorder="1" applyAlignment="1">
      <alignment horizontal="center" vertical="center"/>
    </xf>
    <xf numFmtId="0" fontId="40" fillId="25" borderId="35" xfId="51" applyFont="1" applyFill="1" applyBorder="1" applyAlignment="1">
      <alignment horizontal="center" vertical="center"/>
    </xf>
    <xf numFmtId="0" fontId="90" fillId="8" borderId="140" xfId="77" applyNumberFormat="1" applyFont="1" applyFill="1" applyBorder="1" applyAlignment="1">
      <alignment horizontal="center" vertical="center"/>
    </xf>
    <xf numFmtId="0" fontId="90" fillId="8" borderId="33" xfId="77" applyNumberFormat="1" applyFont="1" applyFill="1" applyBorder="1" applyAlignment="1">
      <alignment horizontal="center" vertical="center"/>
    </xf>
    <xf numFmtId="0" fontId="147" fillId="43" borderId="2" xfId="51" applyFont="1" applyFill="1" applyBorder="1" applyAlignment="1">
      <alignment horizontal="center" vertical="center"/>
    </xf>
    <xf numFmtId="0" fontId="147" fillId="43" borderId="34" xfId="51" applyFont="1" applyFill="1" applyBorder="1" applyAlignment="1">
      <alignment horizontal="center"/>
    </xf>
    <xf numFmtId="0" fontId="147" fillId="43" borderId="35" xfId="51" applyFont="1" applyFill="1" applyBorder="1" applyAlignment="1">
      <alignment horizontal="center"/>
    </xf>
    <xf numFmtId="0" fontId="150" fillId="43" borderId="34" xfId="51" applyFont="1" applyFill="1" applyBorder="1" applyAlignment="1">
      <alignment horizontal="center" vertical="center"/>
    </xf>
    <xf numFmtId="0" fontId="150" fillId="43" borderId="2" xfId="51" applyFont="1" applyFill="1" applyBorder="1" applyAlignment="1">
      <alignment horizontal="center" vertical="center"/>
    </xf>
    <xf numFmtId="0" fontId="150" fillId="43" borderId="35" xfId="51" applyFont="1" applyFill="1" applyBorder="1" applyAlignment="1">
      <alignment horizontal="center" vertical="center"/>
    </xf>
    <xf numFmtId="0" fontId="147" fillId="43" borderId="68" xfId="51" applyFont="1" applyFill="1" applyBorder="1" applyAlignment="1">
      <alignment horizontal="center" vertical="center"/>
    </xf>
    <xf numFmtId="0" fontId="147" fillId="43" borderId="69" xfId="51" applyFont="1" applyFill="1" applyBorder="1" applyAlignment="1">
      <alignment horizontal="center" vertical="center"/>
    </xf>
    <xf numFmtId="0" fontId="147" fillId="43" borderId="70" xfId="51" applyFont="1" applyFill="1" applyBorder="1" applyAlignment="1">
      <alignment horizontal="center" vertical="center"/>
    </xf>
    <xf numFmtId="4" fontId="150" fillId="43" borderId="34" xfId="51" applyNumberFormat="1" applyFont="1" applyFill="1" applyBorder="1" applyAlignment="1">
      <alignment horizontal="center" vertical="center"/>
    </xf>
    <xf numFmtId="4" fontId="150" fillId="43" borderId="35" xfId="51" applyNumberFormat="1" applyFont="1" applyFill="1" applyBorder="1" applyAlignment="1">
      <alignment horizontal="center" vertical="center"/>
    </xf>
    <xf numFmtId="43" fontId="42" fillId="0" borderId="34" xfId="24" applyFont="1" applyBorder="1" applyAlignment="1">
      <alignment horizontal="center" vertical="center"/>
    </xf>
    <xf numFmtId="43" fontId="42" fillId="0" borderId="35" xfId="24" applyFont="1" applyBorder="1" applyAlignment="1">
      <alignment horizontal="center" vertical="center"/>
    </xf>
    <xf numFmtId="4" fontId="150" fillId="43" borderId="31" xfId="51" applyNumberFormat="1" applyFont="1" applyFill="1" applyBorder="1" applyAlignment="1">
      <alignment horizontal="center" vertical="center"/>
    </xf>
    <xf numFmtId="4" fontId="150" fillId="43" borderId="33" xfId="51" applyNumberFormat="1" applyFont="1" applyFill="1" applyBorder="1" applyAlignment="1">
      <alignment horizontal="center" vertical="center"/>
    </xf>
    <xf numFmtId="43" fontId="42" fillId="0" borderId="0" xfId="24" applyFont="1" applyBorder="1" applyAlignment="1">
      <alignment horizontal="center" vertical="center"/>
    </xf>
    <xf numFmtId="4" fontId="42" fillId="0" borderId="31" xfId="51" applyNumberFormat="1" applyFont="1" applyBorder="1" applyAlignment="1">
      <alignment horizontal="center" vertical="center"/>
    </xf>
    <xf numFmtId="0" fontId="42" fillId="0" borderId="33" xfId="51" applyFont="1" applyBorder="1" applyAlignment="1">
      <alignment horizontal="center" vertical="center"/>
    </xf>
    <xf numFmtId="0" fontId="194" fillId="43" borderId="34" xfId="51" applyFont="1" applyFill="1" applyBorder="1" applyAlignment="1">
      <alignment horizontal="center" vertical="center"/>
    </xf>
    <xf numFmtId="0" fontId="194" fillId="43" borderId="35" xfId="51" applyFont="1" applyFill="1" applyBorder="1" applyAlignment="1">
      <alignment horizontal="center" vertical="center"/>
    </xf>
    <xf numFmtId="0" fontId="147" fillId="43" borderId="31" xfId="51" applyFont="1" applyFill="1" applyBorder="1" applyAlignment="1">
      <alignment horizontal="center" vertical="center"/>
    </xf>
    <xf numFmtId="0" fontId="147" fillId="43" borderId="33" xfId="51" applyFont="1" applyFill="1" applyBorder="1" applyAlignment="1">
      <alignment horizontal="center" vertical="center"/>
    </xf>
    <xf numFmtId="0" fontId="75" fillId="24" borderId="49" xfId="51" applyFont="1" applyFill="1" applyBorder="1" applyAlignment="1">
      <alignment horizontal="center" vertical="center" wrapText="1"/>
    </xf>
    <xf numFmtId="0" fontId="75" fillId="24" borderId="53" xfId="51" applyFont="1" applyFill="1" applyBorder="1" applyAlignment="1">
      <alignment horizontal="center" vertical="center" wrapText="1"/>
    </xf>
    <xf numFmtId="0" fontId="213" fillId="0" borderId="1" xfId="0" applyFont="1" applyBorder="1" applyAlignment="1">
      <alignment horizontal="center" vertical="center"/>
    </xf>
    <xf numFmtId="0" fontId="213" fillId="0" borderId="3" xfId="0" applyFont="1" applyBorder="1" applyAlignment="1">
      <alignment horizontal="center" vertical="center"/>
    </xf>
    <xf numFmtId="0" fontId="213" fillId="0" borderId="41" xfId="0" applyFont="1" applyBorder="1" applyAlignment="1">
      <alignment horizontal="center" vertical="center"/>
    </xf>
    <xf numFmtId="0" fontId="156" fillId="24" borderId="34" xfId="51" applyFont="1" applyFill="1" applyBorder="1" applyAlignment="1">
      <alignment horizontal="center" vertical="center"/>
    </xf>
    <xf numFmtId="0" fontId="156" fillId="24" borderId="2" xfId="51" applyFont="1" applyFill="1" applyBorder="1" applyAlignment="1">
      <alignment horizontal="center" vertical="center"/>
    </xf>
    <xf numFmtId="0" fontId="156" fillId="24" borderId="35" xfId="51" applyFont="1" applyFill="1" applyBorder="1" applyAlignment="1">
      <alignment horizontal="center" vertical="center"/>
    </xf>
    <xf numFmtId="0" fontId="191" fillId="24" borderId="34" xfId="51" applyFont="1" applyFill="1" applyBorder="1" applyAlignment="1" applyProtection="1">
      <alignment horizontal="center" vertical="center"/>
    </xf>
    <xf numFmtId="0" fontId="191" fillId="24" borderId="2" xfId="51" applyFont="1" applyFill="1" applyBorder="1" applyAlignment="1" applyProtection="1">
      <alignment horizontal="center" vertical="center"/>
    </xf>
    <xf numFmtId="0" fontId="191" fillId="24" borderId="35" xfId="51" applyFont="1" applyFill="1" applyBorder="1" applyAlignment="1" applyProtection="1">
      <alignment horizontal="center" vertical="center"/>
    </xf>
    <xf numFmtId="0" fontId="40" fillId="24" borderId="39" xfId="51" applyFont="1" applyFill="1" applyBorder="1" applyAlignment="1">
      <alignment horizontal="center" vertical="center" wrapText="1"/>
    </xf>
    <xf numFmtId="0" fontId="40" fillId="24" borderId="28" xfId="51" applyFont="1" applyFill="1" applyBorder="1" applyAlignment="1">
      <alignment horizontal="center" vertical="center" wrapText="1"/>
    </xf>
    <xf numFmtId="0" fontId="40" fillId="24" borderId="31" xfId="51" applyFont="1" applyFill="1" applyBorder="1" applyAlignment="1">
      <alignment horizontal="center" vertical="center" wrapText="1"/>
    </xf>
    <xf numFmtId="0" fontId="40" fillId="24" borderId="32" xfId="51" applyFont="1" applyFill="1" applyBorder="1" applyAlignment="1">
      <alignment horizontal="center" vertical="center" wrapText="1"/>
    </xf>
    <xf numFmtId="0" fontId="66" fillId="24" borderId="91" xfId="51" applyFont="1" applyFill="1" applyBorder="1" applyAlignment="1">
      <alignment horizontal="center" vertical="center"/>
    </xf>
    <xf numFmtId="0" fontId="66" fillId="24" borderId="92" xfId="51" applyFont="1" applyFill="1" applyBorder="1" applyAlignment="1">
      <alignment horizontal="center" vertical="center"/>
    </xf>
    <xf numFmtId="0" fontId="66" fillId="24" borderId="89" xfId="51" applyFont="1" applyFill="1" applyBorder="1" applyAlignment="1">
      <alignment horizontal="center" vertical="center"/>
    </xf>
    <xf numFmtId="0" fontId="66" fillId="24" borderId="73" xfId="51" applyFont="1" applyFill="1" applyBorder="1" applyAlignment="1">
      <alignment horizontal="center" vertical="center"/>
    </xf>
    <xf numFmtId="0" fontId="150" fillId="43" borderId="31" xfId="51" applyFont="1" applyFill="1" applyBorder="1" applyAlignment="1">
      <alignment horizontal="center" vertical="center"/>
    </xf>
    <xf numFmtId="0" fontId="150" fillId="43" borderId="33" xfId="51" applyFont="1" applyFill="1" applyBorder="1" applyAlignment="1">
      <alignment horizontal="center" vertical="center"/>
    </xf>
    <xf numFmtId="0" fontId="66" fillId="24" borderId="86" xfId="51" applyFont="1" applyFill="1" applyBorder="1" applyAlignment="1">
      <alignment horizontal="center" vertical="center" wrapText="1"/>
    </xf>
    <xf numFmtId="0" fontId="66" fillId="24" borderId="80" xfId="51" applyFont="1" applyFill="1" applyBorder="1" applyAlignment="1">
      <alignment horizontal="center" vertical="center" wrapText="1"/>
    </xf>
    <xf numFmtId="43" fontId="44" fillId="0" borderId="1" xfId="24" applyFont="1" applyFill="1" applyBorder="1" applyAlignment="1" applyProtection="1">
      <alignment horizontal="center" vertical="center"/>
    </xf>
    <xf numFmtId="43" fontId="44" fillId="0" borderId="41" xfId="24" applyFont="1" applyFill="1" applyBorder="1" applyAlignment="1" applyProtection="1">
      <alignment horizontal="center" vertical="center"/>
    </xf>
    <xf numFmtId="0" fontId="44" fillId="26" borderId="34" xfId="0" applyFont="1" applyFill="1" applyBorder="1" applyAlignment="1">
      <alignment horizontal="center"/>
    </xf>
    <xf numFmtId="0" fontId="44" fillId="26" borderId="2" xfId="0" applyFont="1" applyFill="1" applyBorder="1" applyAlignment="1">
      <alignment horizontal="center"/>
    </xf>
    <xf numFmtId="0" fontId="44" fillId="26" borderId="35" xfId="0" applyFont="1" applyFill="1" applyBorder="1" applyAlignment="1">
      <alignment horizontal="center"/>
    </xf>
    <xf numFmtId="0" fontId="44" fillId="26" borderId="1" xfId="0" applyFont="1" applyFill="1" applyBorder="1" applyAlignment="1">
      <alignment horizontal="center"/>
    </xf>
    <xf numFmtId="0" fontId="44" fillId="26" borderId="3" xfId="0" applyFont="1" applyFill="1" applyBorder="1" applyAlignment="1">
      <alignment horizontal="center"/>
    </xf>
    <xf numFmtId="0" fontId="44" fillId="26" borderId="41" xfId="0" applyFont="1" applyFill="1" applyBorder="1" applyAlignment="1">
      <alignment horizontal="center"/>
    </xf>
    <xf numFmtId="0" fontId="42" fillId="0" borderId="101" xfId="51" applyFont="1" applyFill="1" applyBorder="1" applyAlignment="1">
      <alignment horizontal="center"/>
    </xf>
    <xf numFmtId="0" fontId="42" fillId="0" borderId="142" xfId="51" applyFont="1" applyFill="1" applyBorder="1" applyAlignment="1">
      <alignment horizontal="center"/>
    </xf>
    <xf numFmtId="0" fontId="34" fillId="0" borderId="0" xfId="53" applyFont="1" applyBorder="1" applyAlignment="1">
      <alignment horizontal="center" vertical="top" wrapText="1"/>
    </xf>
    <xf numFmtId="0" fontId="34" fillId="0" borderId="0" xfId="53" applyFont="1" applyAlignment="1">
      <alignment vertical="top" shrinkToFit="1"/>
    </xf>
    <xf numFmtId="0" fontId="34" fillId="0" borderId="4" xfId="53" applyFont="1" applyBorder="1" applyAlignment="1">
      <alignment horizontal="center" vertical="center" wrapText="1"/>
    </xf>
    <xf numFmtId="0" fontId="34" fillId="0" borderId="4" xfId="53" applyFont="1" applyBorder="1" applyAlignment="1">
      <alignment horizontal="center" vertical="center" shrinkToFit="1"/>
    </xf>
    <xf numFmtId="0" fontId="34" fillId="6" borderId="1" xfId="53" applyFont="1" applyFill="1" applyBorder="1" applyAlignment="1">
      <alignment horizontal="center" vertical="top" wrapText="1"/>
    </xf>
    <xf numFmtId="0" fontId="34" fillId="6" borderId="3" xfId="53" applyFont="1" applyFill="1" applyBorder="1" applyAlignment="1">
      <alignment horizontal="center" vertical="top" wrapText="1"/>
    </xf>
    <xf numFmtId="0" fontId="34" fillId="6" borderId="41" xfId="53" applyFont="1" applyFill="1" applyBorder="1" applyAlignment="1">
      <alignment horizontal="center" vertical="top" wrapText="1"/>
    </xf>
    <xf numFmtId="227" fontId="34" fillId="0" borderId="1" xfId="53" applyNumberFormat="1" applyFont="1" applyBorder="1" applyAlignment="1">
      <alignment horizontal="center" vertical="center" wrapText="1"/>
    </xf>
    <xf numFmtId="227" fontId="34" fillId="0" borderId="3" xfId="53" applyNumberFormat="1" applyFont="1" applyBorder="1" applyAlignment="1">
      <alignment horizontal="center" vertical="center" wrapText="1"/>
    </xf>
    <xf numFmtId="227" fontId="34" fillId="0" borderId="41" xfId="53" applyNumberFormat="1" applyFont="1" applyBorder="1" applyAlignment="1">
      <alignment horizontal="center" vertical="center" wrapText="1"/>
    </xf>
    <xf numFmtId="0" fontId="34" fillId="0" borderId="19" xfId="53" applyFont="1" applyBorder="1" applyAlignment="1">
      <alignment horizontal="center" vertical="center" wrapText="1"/>
    </xf>
    <xf numFmtId="0" fontId="34" fillId="0" borderId="10" xfId="53" applyFont="1" applyBorder="1" applyAlignment="1">
      <alignment horizontal="center" vertical="center" wrapText="1"/>
    </xf>
  </cellXfs>
  <cellStyles count="96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24" builtinId="3"/>
    <cellStyle name="Comma [00]" xfId="25"/>
    <cellStyle name="Comma 2" xfId="26"/>
    <cellStyle name="Comma 2 2" xfId="93"/>
    <cellStyle name="comma zerodec" xfId="27"/>
    <cellStyle name="company_title" xfId="28"/>
    <cellStyle name="Currency [00]" xfId="29"/>
    <cellStyle name="Currency1" xfId="30"/>
    <cellStyle name="Date Short" xfId="31"/>
    <cellStyle name="date_format" xfId="32"/>
    <cellStyle name="Dollar (zero dec)" xfId="33"/>
    <cellStyle name="Enter Currency (0)" xfId="34"/>
    <cellStyle name="Enter Currency (2)" xfId="35"/>
    <cellStyle name="Enter Units (0)" xfId="36"/>
    <cellStyle name="Enter Units (1)" xfId="37"/>
    <cellStyle name="Enter Units (2)" xfId="38"/>
    <cellStyle name="Grey" xfId="39"/>
    <cellStyle name="Header1" xfId="40"/>
    <cellStyle name="Header2" xfId="41"/>
    <cellStyle name="Input [yellow]" xfId="42"/>
    <cellStyle name="Link Currency (0)" xfId="43"/>
    <cellStyle name="Link Currency (2)" xfId="44"/>
    <cellStyle name="Link Units (0)" xfId="45"/>
    <cellStyle name="Link Units (1)" xfId="46"/>
    <cellStyle name="Link Units (2)" xfId="47"/>
    <cellStyle name="no dec" xfId="48"/>
    <cellStyle name="Normal" xfId="0" builtinId="0"/>
    <cellStyle name="Normal - Style1" xfId="49"/>
    <cellStyle name="Normal 2" xfId="50"/>
    <cellStyle name="Normal 2 2" xfId="92"/>
    <cellStyle name="Normal 3" xfId="51"/>
    <cellStyle name="Normal 4" xfId="52"/>
    <cellStyle name="Normal 5" xfId="53"/>
    <cellStyle name="Normal 6" xfId="90"/>
    <cellStyle name="Normal 7" xfId="91"/>
    <cellStyle name="Normal_47อบ.23017" xfId="54"/>
    <cellStyle name="Normal_สรุปผลการประเมินราคา" xfId="55"/>
    <cellStyle name="Normal_สรุปผลการประเมินราคา 2" xfId="56"/>
    <cellStyle name="Nor聭al_ภาคกลาง" xfId="57"/>
    <cellStyle name="ParaBirimi [0]_RESULTS" xfId="58"/>
    <cellStyle name="ParaBirimi_RESULTS" xfId="59"/>
    <cellStyle name="Percent" xfId="94" builtinId="5"/>
    <cellStyle name="Percent [0]" xfId="60"/>
    <cellStyle name="Percent [00]" xfId="61"/>
    <cellStyle name="Percent [2]" xfId="62"/>
    <cellStyle name="PrePop Currency (0)" xfId="63"/>
    <cellStyle name="PrePop Currency (2)" xfId="64"/>
    <cellStyle name="PrePop Units (0)" xfId="65"/>
    <cellStyle name="PrePop Units (1)" xfId="66"/>
    <cellStyle name="PrePop Units (2)" xfId="67"/>
    <cellStyle name="Quantity" xfId="68"/>
    <cellStyle name="report_title" xfId="69"/>
    <cellStyle name="Text Indent A" xfId="70"/>
    <cellStyle name="Text Indent B" xfId="71"/>
    <cellStyle name="Text Indent C" xfId="72"/>
    <cellStyle name="Total" xfId="73"/>
    <cellStyle name="Virg? [0]_RESULTS" xfId="74"/>
    <cellStyle name="Virg?_RESULTS" xfId="75"/>
    <cellStyle name="เครื่องหมายจุลภาค 2" xfId="76"/>
    <cellStyle name="เครื่องหมายจุลภาค 2 2" xfId="77"/>
    <cellStyle name="เครื่องหมายจุลภาค 3" xfId="78"/>
    <cellStyle name="เครื่องหมายจุลภาค 3 2" xfId="79"/>
    <cellStyle name="เครื่องหมายจุลภาค 4" xfId="80"/>
    <cellStyle name="เครื่องหมายจุลภาค 5" xfId="81"/>
    <cellStyle name="ปกติ 2" xfId="84"/>
    <cellStyle name="ปกติ 3" xfId="85"/>
    <cellStyle name="ปกติ 4" xfId="86"/>
    <cellStyle name="ปกติ 5" xfId="87"/>
    <cellStyle name="ปกติ_Cost_Sing2" xfId="95"/>
    <cellStyle name="ปกติ_งป ปี 49" xfId="89"/>
    <cellStyle name="ปกติ_แบบสำรวจถนนโครงข่าย" xfId="88"/>
    <cellStyle name="เปอร์เซ็นต์ 2" xfId="82"/>
    <cellStyle name="เปอร์เซ็นต์ 3" xfId="83"/>
  </cellStyles>
  <dxfs count="2">
    <dxf>
      <font>
        <color auto="1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99FF99"/>
      <color rgb="FF0066FF"/>
      <color rgb="FF0033CC"/>
      <color rgb="FFFF66FF"/>
      <color rgb="FF00FFFF"/>
      <color rgb="FFFFFF99"/>
      <color rgb="FFFFFF66"/>
      <color rgb="FFFF9966"/>
      <color rgb="FFFF66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6" fmlaLink="'NO DELETE'!$AE$10" fmlaRange="'NO DELETE'!$AF$2:$AF$9" sel="3" val="0"/>
</file>

<file path=xl/ctrlProps/ctrlProp2.xml><?xml version="1.0" encoding="utf-8"?>
<formControlPr xmlns="http://schemas.microsoft.com/office/spreadsheetml/2009/9/main" objectType="Drop" dropLines="10" dropStyle="combo" dx="16" fmlaLink="'NO DELETE'!$AA$34" fmlaRange="'NO DELETE'!$AB$22:$AB$33" val="0"/>
</file>

<file path=xl/ctrlProps/ctrlProp3.xml><?xml version="1.0" encoding="utf-8"?>
<formControlPr xmlns="http://schemas.microsoft.com/office/spreadsheetml/2009/9/main" objectType="Drop" dropLines="7" dropStyle="combo" dx="16" fmlaLink="'NO DELETE'!$W$9" fmlaRange="'NO DELETE'!$X$2:$X$8" sel="5" val="0"/>
</file>

<file path=xl/ctrlProps/ctrlProp4.xml><?xml version="1.0" encoding="utf-8"?>
<formControlPr xmlns="http://schemas.microsoft.com/office/spreadsheetml/2009/9/main" objectType="Drop" dropLines="10" dropStyle="combo" dx="16" fmlaLink="'NO DELETE'!$S$14" fmlaRange="'NO DELETE'!$T$2:$T$13" sel="4" val="0"/>
</file>

<file path=xl/ctrlProps/ctrlProp5.xml><?xml version="1.0" encoding="utf-8"?>
<formControlPr xmlns="http://schemas.microsoft.com/office/spreadsheetml/2009/9/main" objectType="Drop" dropLines="6" dropStyle="combo" dx="16" fmlaLink="'NO DELETE'!$P$7" fmlaRange="'NO DELETE'!$Q$2:$Q$6" sel="3" val="0"/>
</file>

<file path=xl/ctrlProps/ctrlProp6.xml><?xml version="1.0" encoding="utf-8"?>
<formControlPr xmlns="http://schemas.microsoft.com/office/spreadsheetml/2009/9/main" objectType="Drop" dropLines="7" dropStyle="combo" dx="16" fmlaLink="'NO DELETE'!$W$10" fmlaRange="'NO DELETE'!$X$2:$X$8" sel="4" val="0"/>
</file>

<file path=xl/ctrlProps/ctrlProp7.xml><?xml version="1.0" encoding="utf-8"?>
<formControlPr xmlns="http://schemas.microsoft.com/office/spreadsheetml/2009/9/main" objectType="Drop" dropLines="7" dropStyle="combo" dx="16" fmlaLink="'NO DELETE'!$T$34" fmlaRange="'NO DELETE'!$U$22:$U$33" sel="11" val="5"/>
</file>

<file path=xl/ctrlProps/ctrlProp8.xml><?xml version="1.0" encoding="utf-8"?>
<formControlPr xmlns="http://schemas.microsoft.com/office/spreadsheetml/2009/9/main" objectType="Drop" dropLines="15" dropStyle="combo" dx="16" fmlaLink="'NO DELETE'!$X$53" fmlaRange="'NO DELETE'!$Y$22:$Y$52" sel="10" val="0"/>
</file>

<file path=xl/ctrlProps/ctrlProp9.xml><?xml version="1.0" encoding="utf-8"?>
<formControlPr xmlns="http://schemas.microsoft.com/office/spreadsheetml/2009/9/main" objectType="Drop" dropLines="7" dropStyle="combo" dx="16" fmlaLink="'NO DELETE'!$O$49" fmlaRange="'NO DELETE'!$P$47:$P$48" val="0"/>
</file>

<file path=xl/ctrlProps/ctrlProp10.xml><?xml version="1.0" encoding="utf-8"?>
<formControlPr xmlns="http://schemas.microsoft.com/office/spreadsheetml/2009/9/main" objectType="Drop" dropLines="15" dropStyle="combo" dx="16" fmlaLink="'NO DELETE'!$P$10" fmlaRange="โครงข่าย!$B$7:$B$65" sel="20" val="18"/>
</file>

<file path=xl/ctrlProps/ctrlProp11.xml><?xml version="1.0" encoding="utf-8"?>
<formControlPr xmlns="http://schemas.microsoft.com/office/spreadsheetml/2009/9/main" objectType="Drop" dropLines="7" dropStyle="combo" dx="16" fmlaLink="แหล่งวัสดุ!$P$1" fmlaRange="แหล่งวัสดุ!$V$3:$V$9" sel="6" val="0"/>
</file>

<file path=xl/ctrlProps/ctrlProp12.xml><?xml version="1.0" encoding="utf-8"?>
<formControlPr xmlns="http://schemas.microsoft.com/office/spreadsheetml/2009/9/main" objectType="Drop" dropLines="7" dropStyle="combo" dx="16" fmlaLink="แหล่งวัสดุ!$O$1" fmlaRange="แหล่งวัสดุ!$V$3:$V$9" sel="4" val="0"/>
</file>

<file path=xl/ctrlProps/ctrlProp13.xml><?xml version="1.0" encoding="utf-8"?>
<formControlPr xmlns="http://schemas.microsoft.com/office/spreadsheetml/2009/9/main" objectType="Drop" dropLines="7" dropStyle="combo" dx="16" fmlaLink="'NO DELETE'!$AQ$44" fmlaRange="'NO DELETE'!$AR$42:$AR$43" sel="2" val="0"/>
</file>

<file path=xl/ctrlProps/ctrlProp14.xml><?xml version="1.0" encoding="utf-8"?>
<formControlPr xmlns="http://schemas.microsoft.com/office/spreadsheetml/2009/9/main" objectType="Drop" dropStyle="combo" dx="16" fmlaLink="'NO DELETE'!$AA$66" fmlaRange="'NO DELETE'!$AB$60:$AB$65" sel="2" val="0"/>
</file>

<file path=xl/ctrlProps/ctrlProp15.xml><?xml version="1.0" encoding="utf-8"?>
<formControlPr xmlns="http://schemas.microsoft.com/office/spreadsheetml/2009/9/main" objectType="Drop" dropLines="6" dropStyle="combo" dx="16" fmlaLink="'NO DELETE'!$AA$4" fmlaRange="'NO DELETE'!$AB$2:$AB$3" sel="2" val="0"/>
</file>

<file path=xl/ctrlProps/ctrlProp16.xml><?xml version="1.0" encoding="utf-8"?>
<formControlPr xmlns="http://schemas.microsoft.com/office/spreadsheetml/2009/9/main" objectType="Drop" dropLines="4" dropStyle="combo" dx="16" fmlaLink="'NO DELETE'!$AE$17" fmlaRange="'NO DELETE'!$AF$13:$AF$16" val="0"/>
</file>

<file path=xl/ctrlProps/ctrlProp17.xml><?xml version="1.0" encoding="utf-8"?>
<formControlPr xmlns="http://schemas.microsoft.com/office/spreadsheetml/2009/9/main" objectType="Drop" dropLines="4" dropStyle="combo" dx="16" fmlaLink="'NO DELETE'!$AH$35" fmlaRange="'NO DELETE'!$AE$35:$AE$37" val="0"/>
</file>

<file path=xl/ctrlProps/ctrlProp18.xml><?xml version="1.0" encoding="utf-8"?>
<formControlPr xmlns="http://schemas.microsoft.com/office/spreadsheetml/2009/9/main" objectType="Drop" dropLines="10" dropStyle="combo" dx="16" fmlaLink="'NO DELETE'!$H$1" fmlaRange="'NO DELETE'!$B$4:$B$18" sel="2" val="0"/>
</file>

<file path=xl/ctrlProps/ctrlProp19.xml><?xml version="1.0" encoding="utf-8"?>
<formControlPr xmlns="http://schemas.microsoft.com/office/spreadsheetml/2009/9/main" objectType="Drop" dropLines="10" dropStyle="combo" dx="16" fmlaLink="'NO DELETE'!$I$1" fmlaRange="'NO DELETE'!$B$4:$B$18" sel="8" val="5"/>
</file>

<file path=xl/ctrlProps/ctrlProp20.xml><?xml version="1.0" encoding="utf-8"?>
<formControlPr xmlns="http://schemas.microsoft.com/office/spreadsheetml/2009/9/main" objectType="Drop" dropLines="10" dropStyle="combo" dx="16" fmlaLink="'NO DELETE'!$J$1" fmlaRange="'NO DELETE'!$B$4:$B$18" sel="3" val="0"/>
</file>

<file path=xl/ctrlProps/ctrlProp21.xml><?xml version="1.0" encoding="utf-8"?>
<formControlPr xmlns="http://schemas.microsoft.com/office/spreadsheetml/2009/9/main" objectType="Drop" dropLines="10" dropStyle="combo" dx="16" fmlaLink="'NO DELETE'!$K$1" fmlaRange="'NO DELETE'!$B$4:$B$18" sel="4" val="0"/>
</file>

<file path=xl/ctrlProps/ctrlProp22.xml><?xml version="1.0" encoding="utf-8"?>
<formControlPr xmlns="http://schemas.microsoft.com/office/spreadsheetml/2009/9/main" objectType="Drop" dropLines="10" dropStyle="combo" dx="16" fmlaLink="'NO DELETE'!$L$1" fmlaRange="'NO DELETE'!$B$4:$B$18" sel="5" val="3"/>
</file>

<file path=xl/ctrlProps/ctrlProp23.xml><?xml version="1.0" encoding="utf-8"?>
<formControlPr xmlns="http://schemas.microsoft.com/office/spreadsheetml/2009/9/main" objectType="Drop" dropLines="10" dropStyle="combo" dx="16" fmlaLink="'NO DELETE'!$J$20" fmlaRange="'NO DELETE'!$B$23:$B$37" sel="3" val="0"/>
</file>

<file path=xl/ctrlProps/ctrlProp24.xml><?xml version="1.0" encoding="utf-8"?>
<formControlPr xmlns="http://schemas.microsoft.com/office/spreadsheetml/2009/9/main" objectType="Drop" dropLines="10" dropStyle="combo" dx="16" fmlaLink="'NO DELETE'!$K$20" fmlaRange="'NO DELETE'!$B$23:$B$37" sel="8" val="5"/>
</file>

<file path=xl/ctrlProps/ctrlProp25.xml><?xml version="1.0" encoding="utf-8"?>
<formControlPr xmlns="http://schemas.microsoft.com/office/spreadsheetml/2009/9/main" objectType="Drop" dropLines="10" dropStyle="combo" dx="16" fmlaLink="'NO DELETE'!$L$20" fmlaRange="'NO DELETE'!$B$23:$B$37" sel="13" val="5"/>
</file>

<file path=xl/ctrlProps/ctrlProp26.xml><?xml version="1.0" encoding="utf-8"?>
<formControlPr xmlns="http://schemas.microsoft.com/office/spreadsheetml/2009/9/main" objectType="Drop" dropLines="10" dropStyle="combo" dx="16" fmlaLink="'NO DELETE'!$M$20" fmlaRange="'NO DELETE'!$B$23:$B$37" sel="13" val="5"/>
</file>

<file path=xl/ctrlProps/ctrlProp27.xml><?xml version="1.0" encoding="utf-8"?>
<formControlPr xmlns="http://schemas.microsoft.com/office/spreadsheetml/2009/9/main" objectType="Drop" dropLines="10" dropStyle="combo" dx="16" fmlaLink="'NO DELETE'!$N$20" fmlaRange="'NO DELETE'!$B$23:$B$37" sel="13" val="5"/>
</file>

<file path=xl/ctrlProps/ctrlProp28.xml><?xml version="1.0" encoding="utf-8"?>
<formControlPr xmlns="http://schemas.microsoft.com/office/spreadsheetml/2009/9/main" objectType="Drop" dropLines="7" dropStyle="combo" dx="16" fmlaLink="'NO DELETE'!$AA$13" fmlaRange="'NO DELETE'!$AB$7:$AB$12" sel="2" val="0"/>
</file>

<file path=xl/ctrlProps/ctrlProp29.xml><?xml version="1.0" encoding="utf-8"?>
<formControlPr xmlns="http://schemas.microsoft.com/office/spreadsheetml/2009/9/main" objectType="Drop" dropLines="7" dropStyle="combo" dx="16" fmlaLink="'NO DELETE'!$AA$14" fmlaRange="'NO DELETE'!$AB$7:$AB$12" sel="2" val="0"/>
</file>

<file path=xl/ctrlProps/ctrlProp30.xml><?xml version="1.0" encoding="utf-8"?>
<formControlPr xmlns="http://schemas.microsoft.com/office/spreadsheetml/2009/9/main" objectType="Drop" dropLines="4" dropStyle="combo" dx="16" fmlaLink="'NO DELETE'!$AV$6" fmlaRange="'NO DELETE'!$AR$6:$AR$9" val="0"/>
</file>

<file path=xl/ctrlProps/ctrlProp31.xml><?xml version="1.0" encoding="utf-8"?>
<formControlPr xmlns="http://schemas.microsoft.com/office/spreadsheetml/2009/9/main" objectType="Drop" dropLines="4" dropStyle="combo" dx="16" fmlaLink="'NO DELETE'!$AV$11" fmlaRange="'NO DELETE'!$AR$11:$AR$13" sel="2" val="0"/>
</file>

<file path=xl/ctrlProps/ctrlProp32.xml><?xml version="1.0" encoding="utf-8"?>
<formControlPr xmlns="http://schemas.microsoft.com/office/spreadsheetml/2009/9/main" objectType="Drop" dropLines="7" dropStyle="combo" dx="16" fmlaLink="'NO DELETE'!$AD$49" fmlaRange="'NO DELETE'!$AB$49:$AB$54" sel="3" val="0"/>
</file>

<file path=xl/ctrlProps/ctrlProp33.xml><?xml version="1.0" encoding="utf-8"?>
<formControlPr xmlns="http://schemas.microsoft.com/office/spreadsheetml/2009/9/main" objectType="Drop" dropLines="4" dropStyle="combo" dx="16" fmlaLink="'NO DELETE'!$AW$1" fmlaRange="'NO DELETE'!$AR$1:$AR$3" sel="2" val="0"/>
</file>

<file path=xl/ctrlProps/ctrlProp34.xml><?xml version="1.0" encoding="utf-8"?>
<formControlPr xmlns="http://schemas.microsoft.com/office/spreadsheetml/2009/9/main" objectType="Drop" dropLines="3" dropStyle="combo" dx="16" fmlaLink="'NO DELETE'!$AB$45" fmlaRange="'NO DELETE'!$AA$45:$AA$46" sel="2" val="0"/>
</file>

<file path=xl/ctrlProps/ctrlProp35.xml><?xml version="1.0" encoding="utf-8"?>
<formControlPr xmlns="http://schemas.microsoft.com/office/spreadsheetml/2009/9/main" objectType="Drop" dropLines="4" dropStyle="combo" dx="16" fmlaLink="'NO DELETE'!$AH$39" fmlaRange="'NO DELETE'!$AE$39:$AE$41" val="0"/>
</file>

<file path=xl/ctrlProps/ctrlProp36.xml><?xml version="1.0" encoding="utf-8"?>
<formControlPr xmlns="http://schemas.microsoft.com/office/spreadsheetml/2009/9/main" objectType="Drop" dropStyle="combo" dx="16" fmlaLink="'NO DELETE'!$BG$6" fmlaRange="'NO DELETE'!$BH$3:$BI$5" sel="2" val="0"/>
</file>

<file path=xl/ctrlProps/ctrlProp37.xml><?xml version="1.0" encoding="utf-8"?>
<formControlPr xmlns="http://schemas.microsoft.com/office/spreadsheetml/2009/9/main" objectType="Drop" dropLines="10" dropStyle="combo" dx="16" fmlaLink="บ่อรับน้ำ!$A$21" fmlaRange="บ่อรับน้ำ!$AP$2:$AP$13" sel="6" val="0"/>
</file>

<file path=xl/ctrlProps/ctrlProp38.xml><?xml version="1.0" encoding="utf-8"?>
<formControlPr xmlns="http://schemas.microsoft.com/office/spreadsheetml/2009/9/main" objectType="Drop" dropLines="10" dropStyle="combo" dx="16" fmlaLink="บ่อรับน้ำ!$A$22" fmlaRange="บ่อรับน้ำ!$AP$2:$AP$13" sel="5" val="2"/>
</file>

<file path=xl/ctrlProps/ctrlProp39.xml><?xml version="1.0" encoding="utf-8"?>
<formControlPr xmlns="http://schemas.microsoft.com/office/spreadsheetml/2009/9/main" objectType="Drop" dropLines="10" dropStyle="combo" dx="16" fmlaLink="บ่อรับน้ำ!$A$23" fmlaRange="บ่อรับน้ำ!$AP$2:$AP$13" sel="9" val="2"/>
</file>

<file path=xl/ctrlProps/ctrlProp40.xml><?xml version="1.0" encoding="utf-8"?>
<formControlPr xmlns="http://schemas.microsoft.com/office/spreadsheetml/2009/9/main" objectType="Drop" dropLines="3" dropStyle="combo" dx="16" fmlaLink="'NO DELETE'!$AQ$30" fmlaRange="'NO DELETE'!$AR$30:$AR$32" sel="2" val="0"/>
</file>

<file path=xl/ctrlProps/ctrlProp41.xml><?xml version="1.0" encoding="utf-8"?>
<formControlPr xmlns="http://schemas.microsoft.com/office/spreadsheetml/2009/9/main" objectType="Drop" dropLines="7" dropStyle="combo" dx="16" fmlaLink="'NO DELETE'!$AQ$21" fmlaRange="'NO DELETE'!$AR$19:$AR$20" sel="2" val="0"/>
</file>

<file path=xl/ctrlProps/ctrlProp42.xml><?xml version="1.0" encoding="utf-8"?>
<formControlPr xmlns="http://schemas.microsoft.com/office/spreadsheetml/2009/9/main" objectType="Drop" dropLines="2" dropStyle="combo" dx="16" fmlaLink="'NO DELETE'!$AJ$77" fmlaRange="'NO DELETE'!$AK$75:$AK$76" sel="2" val="0"/>
</file>

<file path=xl/ctrlProps/ctrlProp43.xml><?xml version="1.0" encoding="utf-8"?>
<formControlPr xmlns="http://schemas.microsoft.com/office/spreadsheetml/2009/9/main" objectType="Drop" dropStyle="combo" dx="16" fmlaLink="บ่อพักน้ำใต้ทางเท้า!$X$1" fmlaRange="บ่อพักน้ำใต้ทางเท้า!$AJ$1:$AJ$4" sel="3" val="0"/>
</file>

<file path=xl/ctrlProps/ctrlProp44.xml><?xml version="1.0" encoding="utf-8"?>
<formControlPr xmlns="http://schemas.microsoft.com/office/spreadsheetml/2009/9/main" objectType="Drop" dropStyle="combo" dx="16" fmlaLink="บ่อพักน้ำใต้ทางเท้า!$X$2" fmlaRange="บ่อพักน้ำใต้ทางเท้า!$AS$1:$AS$4" sel="3" val="0"/>
</file>

<file path=xl/ctrlProps/ctrlProp45.xml><?xml version="1.0" encoding="utf-8"?>
<formControlPr xmlns="http://schemas.microsoft.com/office/spreadsheetml/2009/9/main" objectType="Drop" dropStyle="combo" dx="16" fmlaLink="บ่อพักน้ำใต้ทางเท้า!$X$3" fmlaRange="บ่อพักน้ำใต้ทางเท้า!$BB$1:$BB$4" sel="3" val="0"/>
</file>

<file path=xl/ctrlProps/ctrlProp46.xml><?xml version="1.0" encoding="utf-8"?>
<formControlPr xmlns="http://schemas.microsoft.com/office/spreadsheetml/2009/9/main" objectType="Drop" dropStyle="combo" dx="16" fmlaLink="บ่อพักน้ำใต้ทางเท้า!$X$4" fmlaRange="บ่อพักน้ำใต้ทางเท้า!$BK$1:$BK$4" sel="3" val="0"/>
</file>

<file path=xl/ctrlProps/ctrlProp47.xml><?xml version="1.0" encoding="utf-8"?>
<formControlPr xmlns="http://schemas.microsoft.com/office/spreadsheetml/2009/9/main" objectType="Drop" dropStyle="combo" dx="16" fmlaLink="'NO DELETE'!$AY$38" fmlaRange="'NO DELETE'!$AZ$33:$AZ$37" sel="2" val="0"/>
</file>

<file path=xl/ctrlProps/ctrlProp48.xml><?xml version="1.0" encoding="utf-8"?>
<formControlPr xmlns="http://schemas.microsoft.com/office/spreadsheetml/2009/9/main" objectType="Drop" dropStyle="combo" dx="16" fmlaLink="'NO DELETE'!$BB$38" fmlaRange="'NO DELETE'!$BC$33:$BC$37" sel="2" val="0"/>
</file>

<file path=xl/ctrlProps/ctrlProp49.xml><?xml version="1.0" encoding="utf-8"?>
<formControlPr xmlns="http://schemas.microsoft.com/office/spreadsheetml/2009/9/main" objectType="Drop" dropStyle="combo" dx="16" fmlaLink="'NO DELETE'!$AY$45" fmlaRange="'NO DELETE'!$AZ$42:$AZ$44" sel="2" val="0"/>
</file>

<file path=xl/ctrlProps/ctrlProp50.xml><?xml version="1.0" encoding="utf-8"?>
<formControlPr xmlns="http://schemas.microsoft.com/office/spreadsheetml/2009/9/main" objectType="Drop" dropStyle="combo" dx="16" fmlaLink="'NO DELETE'!$AY$7" fmlaRange="'NO DELETE'!$AZ$3:$AZ$6" sel="3" val="0"/>
</file>

<file path=xl/ctrlProps/ctrlProp51.xml><?xml version="1.0" encoding="utf-8"?>
<formControlPr xmlns="http://schemas.microsoft.com/office/spreadsheetml/2009/9/main" objectType="Drop" dropStyle="combo" dx="16" fmlaLink="'NO DELETE'!$BE$31" fmlaRange="'NO DELETE'!$BF$28:$BG$29" val="0"/>
</file>

<file path=xl/ctrlProps/ctrlProp52.xml><?xml version="1.0" encoding="utf-8"?>
<formControlPr xmlns="http://schemas.microsoft.com/office/spreadsheetml/2009/9/main" objectType="Drop" dropStyle="combo" dx="16" fmlaLink="'NO DELETE'!$BD$8" fmlaRange="'NO DELETE'!$BE$3:$BE$7" val="0"/>
</file>

<file path=xl/ctrlProps/ctrlProp53.xml><?xml version="1.0" encoding="utf-8"?>
<formControlPr xmlns="http://schemas.microsoft.com/office/spreadsheetml/2009/9/main" objectType="Drop" dropStyle="combo" dx="16" fmlaLink="$X$4" fmlaRange="$C$66:$C$69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28575</xdr:rowOff>
    </xdr:from>
    <xdr:to>
      <xdr:col>6</xdr:col>
      <xdr:colOff>152400</xdr:colOff>
      <xdr:row>8</xdr:row>
      <xdr:rowOff>38100</xdr:rowOff>
    </xdr:to>
    <xdr:pic>
      <xdr:nvPicPr>
        <xdr:cNvPr id="90354" name="Picture 1" descr="Logo-DRR-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504825"/>
          <a:ext cx="203835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8658</xdr:colOff>
      <xdr:row>5</xdr:row>
      <xdr:rowOff>311726</xdr:rowOff>
    </xdr:from>
    <xdr:ext cx="7213024" cy="1019766"/>
    <xdr:sp macro="" textlink="">
      <xdr:nvSpPr>
        <xdr:cNvPr id="18" name="สี่เหลี่ยมผืนผ้า 17"/>
        <xdr:cNvSpPr/>
      </xdr:nvSpPr>
      <xdr:spPr>
        <a:xfrm>
          <a:off x="2848840" y="2173431"/>
          <a:ext cx="7213024" cy="1019766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32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ปรับแก้ตามกรมบัญชีกลาง </a:t>
          </a:r>
          <a:r>
            <a:rPr lang="th-TH" sz="32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เมื่อ วันที่ 25 พฤศจิกายน   2558 น้ำมัน 22.50 - 25.50 บาท</a:t>
          </a:r>
          <a:endParaRPr lang="th-TH" sz="3200" b="1" cap="none" spc="50">
            <a:ln w="11430"/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17</xdr:col>
      <xdr:colOff>369099</xdr:colOff>
      <xdr:row>0</xdr:row>
      <xdr:rowOff>1</xdr:rowOff>
    </xdr:from>
    <xdr:ext cx="4482509" cy="432954"/>
    <xdr:sp macro="" textlink="">
      <xdr:nvSpPr>
        <xdr:cNvPr id="20" name="สี่เหลี่ยมผืนผ้า 19"/>
        <xdr:cNvSpPr/>
      </xdr:nvSpPr>
      <xdr:spPr>
        <a:xfrm>
          <a:off x="13903258" y="1"/>
          <a:ext cx="4482509" cy="432954"/>
        </a:xfrm>
        <a:prstGeom prst="rect">
          <a:avLst/>
        </a:prstGeom>
        <a:noFill/>
      </xdr:spPr>
      <xdr:txBody>
        <a:bodyPr wrap="none" lIns="91440" tIns="45720" rIns="91440" bIns="45720" anchor="ctr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th-TH" sz="2800" b="1" cap="all" spc="0">
              <a:ln w="0"/>
              <a:solidFill>
                <a:srgbClr val="FF0000"/>
              </a:solidFill>
              <a:effectLst>
                <a:reflection blurRad="12700" stA="50000" endPos="50000" dist="5000" dir="5400000" sy="-100000" rotWithShape="0"/>
              </a:effectLst>
              <a:latin typeface="TH SarabunPSK" pitchFamily="34" charset="-34"/>
              <a:cs typeface="TH SarabunPSK" pitchFamily="34" charset="-34"/>
            </a:rPr>
            <a:t>ปรับปรุงราคาเดือน</a:t>
          </a:r>
          <a:r>
            <a:rPr lang="th-TH" sz="2800" b="1" cap="all" spc="0" baseline="0">
              <a:ln w="0"/>
              <a:solidFill>
                <a:srgbClr val="FF0000"/>
              </a:solidFill>
              <a:effectLst>
                <a:reflection blurRad="12700" stA="50000" endPos="50000" dist="5000" dir="5400000" sy="-100000" rotWithShape="0"/>
              </a:effectLst>
              <a:latin typeface="TH SarabunPSK" pitchFamily="34" charset="-34"/>
              <a:cs typeface="TH SarabunPSK" pitchFamily="34" charset="-34"/>
            </a:rPr>
            <a:t> ตุลาคม 58</a:t>
          </a:r>
          <a:endParaRPr lang="th-TH" sz="2800" b="1" cap="all" spc="0">
            <a:ln w="0"/>
            <a:solidFill>
              <a:srgbClr val="FF0000"/>
            </a:solidFill>
            <a:effectLst>
              <a:reflection blurRad="12700" stA="50000" endPos="50000" dist="5000" dir="5400000" sy="-100000" rotWithShape="0"/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3</xdr:col>
      <xdr:colOff>675409</xdr:colOff>
      <xdr:row>13</xdr:row>
      <xdr:rowOff>216477</xdr:rowOff>
    </xdr:from>
    <xdr:ext cx="8598477" cy="493568"/>
    <xdr:sp macro="" textlink="">
      <xdr:nvSpPr>
        <xdr:cNvPr id="21" name="สี่เหลี่ยมผืนผ้า 20"/>
        <xdr:cNvSpPr/>
      </xdr:nvSpPr>
      <xdr:spPr>
        <a:xfrm>
          <a:off x="2675659" y="4927022"/>
          <a:ext cx="8598477" cy="49356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th-TH" sz="2400" b="1" cap="none" spc="15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งานวางท่อแก้ไขเมื่อ</a:t>
          </a:r>
          <a:r>
            <a:rPr lang="th-TH" sz="2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en-US" sz="2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4</a:t>
          </a:r>
          <a:r>
            <a:rPr lang="th-TH" sz="2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สิงหาคม 2558ตามแบบมาตรฐานที่ ทช.ท.5-103/45(ไม่ตัดท่อ)</a:t>
          </a:r>
          <a:endParaRPr lang="th-TH" sz="2400" b="1" cap="none" spc="150">
            <a:ln w="11430"/>
            <a:solidFill>
              <a:srgbClr val="FF0000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27</xdr:col>
      <xdr:colOff>259773</xdr:colOff>
      <xdr:row>6</xdr:row>
      <xdr:rowOff>233797</xdr:rowOff>
    </xdr:from>
    <xdr:ext cx="4482509" cy="432954"/>
    <xdr:sp macro="" textlink="">
      <xdr:nvSpPr>
        <xdr:cNvPr id="19" name="สี่เหลี่ยมผืนผ้า 18"/>
        <xdr:cNvSpPr/>
      </xdr:nvSpPr>
      <xdr:spPr>
        <a:xfrm>
          <a:off x="21439909" y="2441865"/>
          <a:ext cx="4482509" cy="432954"/>
        </a:xfrm>
        <a:prstGeom prst="rect">
          <a:avLst/>
        </a:prstGeom>
        <a:noFill/>
      </xdr:spPr>
      <xdr:txBody>
        <a:bodyPr wrap="none" lIns="91440" tIns="45720" rIns="91440" bIns="45720" anchor="ctr">
          <a:no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th-TH" sz="2800" b="1" cap="all" spc="0">
              <a:ln w="0"/>
              <a:solidFill>
                <a:srgbClr val="FF0000"/>
              </a:solidFill>
              <a:effectLst>
                <a:reflection blurRad="12700" stA="50000" endPos="50000" dist="5000" dir="5400000" sy="-100000" rotWithShape="0"/>
              </a:effectLst>
              <a:latin typeface="TH SarabunPSK" pitchFamily="34" charset="-34"/>
              <a:cs typeface="TH SarabunPSK" pitchFamily="34" charset="-34"/>
            </a:rPr>
            <a:t>ปรับปรุงราคาตามเล่มวัสดุเดือน</a:t>
          </a:r>
          <a:r>
            <a:rPr lang="th-TH" sz="2800" b="1" cap="all" spc="0" baseline="0">
              <a:ln w="0"/>
              <a:solidFill>
                <a:srgbClr val="FF0000"/>
              </a:solidFill>
              <a:effectLst>
                <a:reflection blurRad="12700" stA="50000" endPos="50000" dist="5000" dir="5400000" sy="-100000" rotWithShape="0"/>
              </a:effectLst>
              <a:latin typeface="TH SarabunPSK" pitchFamily="34" charset="-34"/>
              <a:cs typeface="TH SarabunPSK" pitchFamily="34" charset="-34"/>
            </a:rPr>
            <a:t> เมษายน 58</a:t>
          </a:r>
          <a:endParaRPr lang="th-TH" sz="2800" b="1" cap="all" spc="0">
            <a:ln w="0"/>
            <a:solidFill>
              <a:srgbClr val="FF0000"/>
            </a:solidFill>
            <a:effectLst>
              <a:reflection blurRad="12700" stA="50000" endPos="50000" dist="5000" dir="5400000" sy="-100000" rotWithShape="0"/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38100</xdr:rowOff>
        </xdr:from>
        <xdr:to>
          <xdr:col>5</xdr:col>
          <xdr:colOff>590550</xdr:colOff>
          <xdr:row>2</xdr:row>
          <xdr:rowOff>323850</xdr:rowOff>
        </xdr:to>
        <xdr:sp macro="" textlink="">
          <xdr:nvSpPr>
            <xdr:cNvPr id="31745" name="Drop Down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685800</xdr:colOff>
          <xdr:row>2</xdr:row>
          <xdr:rowOff>28575</xdr:rowOff>
        </xdr:from>
        <xdr:to>
          <xdr:col>12</xdr:col>
          <xdr:colOff>123825</xdr:colOff>
          <xdr:row>2</xdr:row>
          <xdr:rowOff>304800</xdr:rowOff>
        </xdr:to>
        <xdr:sp macro="" textlink="">
          <xdr:nvSpPr>
            <xdr:cNvPr id="31746" name="Drop Down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</xdr:row>
          <xdr:rowOff>38100</xdr:rowOff>
        </xdr:from>
        <xdr:to>
          <xdr:col>12</xdr:col>
          <xdr:colOff>28575</xdr:colOff>
          <xdr:row>3</xdr:row>
          <xdr:rowOff>295275</xdr:rowOff>
        </xdr:to>
        <xdr:sp macro="" textlink="">
          <xdr:nvSpPr>
            <xdr:cNvPr id="31747" name="Drop Down 3" hidden="1">
              <a:extLst>
                <a:ext uri="{63B3BB69-23CF-44E3-9099-C40C66FF867C}">
                  <a14:compatExt spid="_x0000_s31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38100</xdr:rowOff>
        </xdr:from>
        <xdr:to>
          <xdr:col>3</xdr:col>
          <xdr:colOff>161925</xdr:colOff>
          <xdr:row>6</xdr:row>
          <xdr:rowOff>304800</xdr:rowOff>
        </xdr:to>
        <xdr:sp macro="" textlink="">
          <xdr:nvSpPr>
            <xdr:cNvPr id="31748" name="Drop Down 4" hidden="1">
              <a:extLst>
                <a:ext uri="{63B3BB69-23CF-44E3-9099-C40C66FF867C}">
                  <a14:compatExt spid="_x0000_s31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</xdr:row>
          <xdr:rowOff>38100</xdr:rowOff>
        </xdr:from>
        <xdr:to>
          <xdr:col>8</xdr:col>
          <xdr:colOff>238125</xdr:colOff>
          <xdr:row>3</xdr:row>
          <xdr:rowOff>314325</xdr:rowOff>
        </xdr:to>
        <xdr:sp macro="" textlink="">
          <xdr:nvSpPr>
            <xdr:cNvPr id="31749" name="Drop Down 5" hidden="1">
              <a:extLst>
                <a:ext uri="{63B3BB69-23CF-44E3-9099-C40C66FF867C}">
                  <a14:compatExt spid="_x0000_s31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1</xdr:row>
          <xdr:rowOff>66675</xdr:rowOff>
        </xdr:from>
        <xdr:to>
          <xdr:col>12</xdr:col>
          <xdr:colOff>809625</xdr:colOff>
          <xdr:row>1</xdr:row>
          <xdr:rowOff>333375</xdr:rowOff>
        </xdr:to>
        <xdr:sp macro="" textlink="">
          <xdr:nvSpPr>
            <xdr:cNvPr id="31750" name="Drop Down 6" hidden="1">
              <a:extLst>
                <a:ext uri="{63B3BB69-23CF-44E3-9099-C40C66FF867C}">
                  <a14:compatExt spid="_x0000_s31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1</xdr:row>
          <xdr:rowOff>66675</xdr:rowOff>
        </xdr:from>
        <xdr:to>
          <xdr:col>10</xdr:col>
          <xdr:colOff>1228725</xdr:colOff>
          <xdr:row>1</xdr:row>
          <xdr:rowOff>333375</xdr:rowOff>
        </xdr:to>
        <xdr:sp macro="" textlink="">
          <xdr:nvSpPr>
            <xdr:cNvPr id="31751" name="Drop Down 7" hidden="1">
              <a:extLst>
                <a:ext uri="{63B3BB69-23CF-44E3-9099-C40C66FF867C}">
                  <a14:compatExt spid="_x0000_s31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1</xdr:row>
          <xdr:rowOff>66675</xdr:rowOff>
        </xdr:from>
        <xdr:to>
          <xdr:col>9</xdr:col>
          <xdr:colOff>152400</xdr:colOff>
          <xdr:row>1</xdr:row>
          <xdr:rowOff>323850</xdr:rowOff>
        </xdr:to>
        <xdr:sp macro="" textlink="">
          <xdr:nvSpPr>
            <xdr:cNvPr id="31752" name="Drop Down 8" hidden="1">
              <a:extLst>
                <a:ext uri="{63B3BB69-23CF-44E3-9099-C40C66FF867C}">
                  <a14:compatExt spid="_x0000_s31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</xdr:row>
          <xdr:rowOff>57150</xdr:rowOff>
        </xdr:from>
        <xdr:to>
          <xdr:col>4</xdr:col>
          <xdr:colOff>371475</xdr:colOff>
          <xdr:row>1</xdr:row>
          <xdr:rowOff>323850</xdr:rowOff>
        </xdr:to>
        <xdr:sp macro="" textlink="">
          <xdr:nvSpPr>
            <xdr:cNvPr id="31757" name="Drop Down 13" hidden="1">
              <a:extLst>
                <a:ext uri="{63B3BB69-23CF-44E3-9099-C40C66FF867C}">
                  <a14:compatExt spid="_x0000_s31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4</xdr:row>
          <xdr:rowOff>47625</xdr:rowOff>
        </xdr:from>
        <xdr:to>
          <xdr:col>3</xdr:col>
          <xdr:colOff>714375</xdr:colOff>
          <xdr:row>4</xdr:row>
          <xdr:rowOff>314325</xdr:rowOff>
        </xdr:to>
        <xdr:sp macro="" textlink="">
          <xdr:nvSpPr>
            <xdr:cNvPr id="31758" name="Drop Down 14" hidden="1">
              <a:extLst>
                <a:ext uri="{63B3BB69-23CF-44E3-9099-C40C66FF867C}">
                  <a14:compatExt spid="_x0000_s31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15</xdr:row>
          <xdr:rowOff>9525</xdr:rowOff>
        </xdr:from>
        <xdr:to>
          <xdr:col>3</xdr:col>
          <xdr:colOff>771525</xdr:colOff>
          <xdr:row>15</xdr:row>
          <xdr:rowOff>276225</xdr:rowOff>
        </xdr:to>
        <xdr:sp macro="" textlink="">
          <xdr:nvSpPr>
            <xdr:cNvPr id="31759" name="Drop Down 15" hidden="1">
              <a:extLst>
                <a:ext uri="{63B3BB69-23CF-44E3-9099-C40C66FF867C}">
                  <a14:compatExt spid="_x0000_s31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9</xdr:row>
          <xdr:rowOff>57150</xdr:rowOff>
        </xdr:from>
        <xdr:to>
          <xdr:col>3</xdr:col>
          <xdr:colOff>771525</xdr:colOff>
          <xdr:row>9</xdr:row>
          <xdr:rowOff>323850</xdr:rowOff>
        </xdr:to>
        <xdr:sp macro="" textlink="">
          <xdr:nvSpPr>
            <xdr:cNvPr id="31760" name="Drop Down 16" hidden="1">
              <a:extLst>
                <a:ext uri="{63B3BB69-23CF-44E3-9099-C40C66FF867C}">
                  <a14:compatExt spid="_x0000_s31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31</xdr:row>
          <xdr:rowOff>0</xdr:rowOff>
        </xdr:from>
        <xdr:to>
          <xdr:col>4</xdr:col>
          <xdr:colOff>1552575</xdr:colOff>
          <xdr:row>31</xdr:row>
          <xdr:rowOff>276225</xdr:rowOff>
        </xdr:to>
        <xdr:sp macro="" textlink="">
          <xdr:nvSpPr>
            <xdr:cNvPr id="31761" name="Drop Down 17" hidden="1">
              <a:extLst>
                <a:ext uri="{63B3BB69-23CF-44E3-9099-C40C66FF867C}">
                  <a14:compatExt spid="_x0000_s31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</xdr:row>
          <xdr:rowOff>38100</xdr:rowOff>
        </xdr:from>
        <xdr:to>
          <xdr:col>4</xdr:col>
          <xdr:colOff>1543050</xdr:colOff>
          <xdr:row>3</xdr:row>
          <xdr:rowOff>323850</xdr:rowOff>
        </xdr:to>
        <xdr:sp macro="" textlink="">
          <xdr:nvSpPr>
            <xdr:cNvPr id="31762" name="Drop Down 18" hidden="1">
              <a:extLst>
                <a:ext uri="{63B3BB69-23CF-44E3-9099-C40C66FF867C}">
                  <a14:compatExt spid="_x0000_s31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739888</xdr:colOff>
      <xdr:row>47</xdr:row>
      <xdr:rowOff>119062</xdr:rowOff>
    </xdr:from>
    <xdr:to>
      <xdr:col>9</xdr:col>
      <xdr:colOff>119062</xdr:colOff>
      <xdr:row>57</xdr:row>
      <xdr:rowOff>0</xdr:rowOff>
    </xdr:to>
    <xdr:sp macro="" textlink="">
      <xdr:nvSpPr>
        <xdr:cNvPr id="5" name="วงเล็บปีกกาซ้าย 4"/>
        <xdr:cNvSpPr/>
      </xdr:nvSpPr>
      <xdr:spPr>
        <a:xfrm>
          <a:off x="8555491" y="7347857"/>
          <a:ext cx="280647" cy="909978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th-TH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215555</xdr:colOff>
      <xdr:row>73</xdr:row>
      <xdr:rowOff>85045</xdr:rowOff>
    </xdr:from>
    <xdr:to>
      <xdr:col>6</xdr:col>
      <xdr:colOff>525029</xdr:colOff>
      <xdr:row>80</xdr:row>
      <xdr:rowOff>135945</xdr:rowOff>
    </xdr:to>
    <xdr:pic>
      <xdr:nvPicPr>
        <xdr:cNvPr id="2" name="รูปภาพ 1" descr="Untitled-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7828" y="18416340"/>
          <a:ext cx="3192951" cy="174808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/>
      </xdr:spPr>
    </xdr:pic>
    <xdr:clientData/>
  </xdr:twoCellAnchor>
  <xdr:twoCellAnchor editAs="oneCell">
    <xdr:from>
      <xdr:col>1</xdr:col>
      <xdr:colOff>339077</xdr:colOff>
      <xdr:row>49</xdr:row>
      <xdr:rowOff>161035</xdr:rowOff>
    </xdr:from>
    <xdr:to>
      <xdr:col>8</xdr:col>
      <xdr:colOff>620859</xdr:colOff>
      <xdr:row>61</xdr:row>
      <xdr:rowOff>211638</xdr:rowOff>
    </xdr:to>
    <xdr:pic>
      <xdr:nvPicPr>
        <xdr:cNvPr id="39560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4922" t="16332" r="27865" b="18859"/>
        <a:stretch>
          <a:fillRect/>
        </a:stretch>
      </xdr:blipFill>
      <xdr:spPr bwMode="auto">
        <a:xfrm>
          <a:off x="945213" y="12500240"/>
          <a:ext cx="5356010" cy="2960057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</xdr:row>
          <xdr:rowOff>38100</xdr:rowOff>
        </xdr:from>
        <xdr:to>
          <xdr:col>6</xdr:col>
          <xdr:colOff>685800</xdr:colOff>
          <xdr:row>3</xdr:row>
          <xdr:rowOff>0</xdr:rowOff>
        </xdr:to>
        <xdr:sp macro="" textlink="">
          <xdr:nvSpPr>
            <xdr:cNvPr id="38913" name="Drop Down 1" hidden="1">
              <a:extLst>
                <a:ext uri="{63B3BB69-23CF-44E3-9099-C40C66FF867C}">
                  <a14:compatExt spid="_x0000_s38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557814</xdr:colOff>
      <xdr:row>16</xdr:row>
      <xdr:rowOff>259798</xdr:rowOff>
    </xdr:from>
    <xdr:ext cx="3506602" cy="874855"/>
    <xdr:sp macro="" textlink="">
      <xdr:nvSpPr>
        <xdr:cNvPr id="4" name="สี่เหลี่ยมผืนผ้า 3"/>
        <xdr:cNvSpPr/>
      </xdr:nvSpPr>
      <xdr:spPr>
        <a:xfrm>
          <a:off x="814989" y="4669873"/>
          <a:ext cx="3506602" cy="87485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ปริมาณ/ครึ่งถนน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285748</xdr:colOff>
      <xdr:row>35</xdr:row>
      <xdr:rowOff>0</xdr:rowOff>
    </xdr:from>
    <xdr:to>
      <xdr:col>19</xdr:col>
      <xdr:colOff>388937</xdr:colOff>
      <xdr:row>36</xdr:row>
      <xdr:rowOff>151946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CCC8C7"/>
            </a:clrFrom>
            <a:clrTo>
              <a:srgbClr val="CCC8C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7811" y="8560038"/>
          <a:ext cx="1516064" cy="398009"/>
        </a:xfrm>
        <a:prstGeom prst="rect">
          <a:avLst/>
        </a:prstGeom>
      </xdr:spPr>
    </xdr:pic>
    <xdr:clientData/>
  </xdr:twoCellAnchor>
  <xdr:twoCellAnchor editAs="oneCell">
    <xdr:from>
      <xdr:col>16</xdr:col>
      <xdr:colOff>506575</xdr:colOff>
      <xdr:row>28</xdr:row>
      <xdr:rowOff>156312</xdr:rowOff>
    </xdr:from>
    <xdr:to>
      <xdr:col>18</xdr:col>
      <xdr:colOff>283313</xdr:colOff>
      <xdr:row>29</xdr:row>
      <xdr:rowOff>166687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BCB8B5"/>
            </a:clrFrom>
            <a:clrTo>
              <a:srgbClr val="BCB8B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1575" y="6879375"/>
          <a:ext cx="1205488" cy="2881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54552</xdr:colOff>
      <xdr:row>23</xdr:row>
      <xdr:rowOff>51955</xdr:rowOff>
    </xdr:from>
    <xdr:to>
      <xdr:col>15</xdr:col>
      <xdr:colOff>273627</xdr:colOff>
      <xdr:row>23</xdr:row>
      <xdr:rowOff>213880</xdr:rowOff>
    </xdr:to>
    <xdr:sp macro="" textlink="">
      <xdr:nvSpPr>
        <xdr:cNvPr id="2" name="ลูกศรขวา 1"/>
        <xdr:cNvSpPr/>
      </xdr:nvSpPr>
      <xdr:spPr>
        <a:xfrm flipH="1">
          <a:off x="10159711" y="5870864"/>
          <a:ext cx="219075" cy="161925"/>
        </a:xfrm>
        <a:prstGeom prst="rightArrow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15</xdr:col>
      <xdr:colOff>63212</xdr:colOff>
      <xdr:row>24</xdr:row>
      <xdr:rowOff>50222</xdr:rowOff>
    </xdr:from>
    <xdr:to>
      <xdr:col>15</xdr:col>
      <xdr:colOff>282287</xdr:colOff>
      <xdr:row>24</xdr:row>
      <xdr:rowOff>212147</xdr:rowOff>
    </xdr:to>
    <xdr:sp macro="" textlink="">
      <xdr:nvSpPr>
        <xdr:cNvPr id="3" name="ลูกศรขวา 2"/>
        <xdr:cNvSpPr/>
      </xdr:nvSpPr>
      <xdr:spPr>
        <a:xfrm flipH="1">
          <a:off x="10168371" y="6120245"/>
          <a:ext cx="219075" cy="161925"/>
        </a:xfrm>
        <a:prstGeom prst="rightArrow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15</xdr:col>
      <xdr:colOff>60613</xdr:colOff>
      <xdr:row>18</xdr:row>
      <xdr:rowOff>34636</xdr:rowOff>
    </xdr:from>
    <xdr:to>
      <xdr:col>15</xdr:col>
      <xdr:colOff>279688</xdr:colOff>
      <xdr:row>18</xdr:row>
      <xdr:rowOff>196561</xdr:rowOff>
    </xdr:to>
    <xdr:sp macro="" textlink="">
      <xdr:nvSpPr>
        <xdr:cNvPr id="5" name="ลูกศรขวา 4"/>
        <xdr:cNvSpPr/>
      </xdr:nvSpPr>
      <xdr:spPr>
        <a:xfrm flipH="1">
          <a:off x="10157113" y="4519324"/>
          <a:ext cx="219075" cy="161925"/>
        </a:xfrm>
        <a:prstGeom prst="rightArrow">
          <a:avLst/>
        </a:prstGeom>
        <a:solidFill>
          <a:srgbClr val="FF0000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34</xdr:row>
          <xdr:rowOff>19050</xdr:rowOff>
        </xdr:from>
        <xdr:to>
          <xdr:col>3</xdr:col>
          <xdr:colOff>2219325</xdr:colOff>
          <xdr:row>34</xdr:row>
          <xdr:rowOff>228600</xdr:rowOff>
        </xdr:to>
        <xdr:sp macro="" textlink="">
          <xdr:nvSpPr>
            <xdr:cNvPr id="6146" name="Drop Down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44</xdr:row>
          <xdr:rowOff>28575</xdr:rowOff>
        </xdr:from>
        <xdr:to>
          <xdr:col>3</xdr:col>
          <xdr:colOff>2333625</xdr:colOff>
          <xdr:row>44</xdr:row>
          <xdr:rowOff>219075</xdr:rowOff>
        </xdr:to>
        <xdr:sp macro="" textlink="">
          <xdr:nvSpPr>
            <xdr:cNvPr id="6147" name="Drop Down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134</xdr:row>
          <xdr:rowOff>19050</xdr:rowOff>
        </xdr:from>
        <xdr:to>
          <xdr:col>3</xdr:col>
          <xdr:colOff>2238375</xdr:colOff>
          <xdr:row>134</xdr:row>
          <xdr:rowOff>219075</xdr:rowOff>
        </xdr:to>
        <xdr:sp macro="" textlink="">
          <xdr:nvSpPr>
            <xdr:cNvPr id="6163" name="Drop Down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135</xdr:row>
          <xdr:rowOff>19050</xdr:rowOff>
        </xdr:from>
        <xdr:to>
          <xdr:col>3</xdr:col>
          <xdr:colOff>2238375</xdr:colOff>
          <xdr:row>135</xdr:row>
          <xdr:rowOff>219075</xdr:rowOff>
        </xdr:to>
        <xdr:sp macro="" textlink="">
          <xdr:nvSpPr>
            <xdr:cNvPr id="6164" name="Drop Down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136</xdr:row>
          <xdr:rowOff>28575</xdr:rowOff>
        </xdr:from>
        <xdr:to>
          <xdr:col>3</xdr:col>
          <xdr:colOff>2238375</xdr:colOff>
          <xdr:row>136</xdr:row>
          <xdr:rowOff>228600</xdr:rowOff>
        </xdr:to>
        <xdr:sp macro="" textlink="">
          <xdr:nvSpPr>
            <xdr:cNvPr id="6165" name="Drop Down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137</xdr:row>
          <xdr:rowOff>38100</xdr:rowOff>
        </xdr:from>
        <xdr:to>
          <xdr:col>3</xdr:col>
          <xdr:colOff>2247900</xdr:colOff>
          <xdr:row>138</xdr:row>
          <xdr:rowOff>0</xdr:rowOff>
        </xdr:to>
        <xdr:sp macro="" textlink="">
          <xdr:nvSpPr>
            <xdr:cNvPr id="6166" name="Drop Down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138</xdr:row>
          <xdr:rowOff>28575</xdr:rowOff>
        </xdr:from>
        <xdr:to>
          <xdr:col>3</xdr:col>
          <xdr:colOff>2247900</xdr:colOff>
          <xdr:row>138</xdr:row>
          <xdr:rowOff>228600</xdr:rowOff>
        </xdr:to>
        <xdr:sp macro="" textlink="">
          <xdr:nvSpPr>
            <xdr:cNvPr id="6167" name="Drop Down 23" hidden="1">
              <a:extLst>
                <a:ext uri="{63B3BB69-23CF-44E3-9099-C40C66FF867C}">
                  <a14:compatExt spid="_x0000_s6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140</xdr:row>
          <xdr:rowOff>28575</xdr:rowOff>
        </xdr:from>
        <xdr:to>
          <xdr:col>3</xdr:col>
          <xdr:colOff>2276475</xdr:colOff>
          <xdr:row>140</xdr:row>
          <xdr:rowOff>209550</xdr:rowOff>
        </xdr:to>
        <xdr:sp macro="" textlink="">
          <xdr:nvSpPr>
            <xdr:cNvPr id="6168" name="Drop Down 24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141</xdr:row>
          <xdr:rowOff>28575</xdr:rowOff>
        </xdr:from>
        <xdr:to>
          <xdr:col>3</xdr:col>
          <xdr:colOff>2266950</xdr:colOff>
          <xdr:row>141</xdr:row>
          <xdr:rowOff>219075</xdr:rowOff>
        </xdr:to>
        <xdr:sp macro="" textlink="">
          <xdr:nvSpPr>
            <xdr:cNvPr id="6169" name="Drop Down 25" hidden="1">
              <a:extLst>
                <a:ext uri="{63B3BB69-23CF-44E3-9099-C40C66FF867C}">
                  <a14:compatExt spid="_x0000_s6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142</xdr:row>
          <xdr:rowOff>19050</xdr:rowOff>
        </xdr:from>
        <xdr:to>
          <xdr:col>3</xdr:col>
          <xdr:colOff>2276475</xdr:colOff>
          <xdr:row>142</xdr:row>
          <xdr:rowOff>219075</xdr:rowOff>
        </xdr:to>
        <xdr:sp macro="" textlink="">
          <xdr:nvSpPr>
            <xdr:cNvPr id="6170" name="Drop Down 26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143</xdr:row>
          <xdr:rowOff>38100</xdr:rowOff>
        </xdr:from>
        <xdr:to>
          <xdr:col>3</xdr:col>
          <xdr:colOff>2266950</xdr:colOff>
          <xdr:row>143</xdr:row>
          <xdr:rowOff>228600</xdr:rowOff>
        </xdr:to>
        <xdr:sp macro="" textlink="">
          <xdr:nvSpPr>
            <xdr:cNvPr id="6171" name="Drop Down 27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144</xdr:row>
          <xdr:rowOff>28575</xdr:rowOff>
        </xdr:from>
        <xdr:to>
          <xdr:col>3</xdr:col>
          <xdr:colOff>2266950</xdr:colOff>
          <xdr:row>144</xdr:row>
          <xdr:rowOff>219075</xdr:rowOff>
        </xdr:to>
        <xdr:sp macro="" textlink="">
          <xdr:nvSpPr>
            <xdr:cNvPr id="6172" name="Drop Down 28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23</xdr:row>
          <xdr:rowOff>47625</xdr:rowOff>
        </xdr:from>
        <xdr:to>
          <xdr:col>14</xdr:col>
          <xdr:colOff>266700</xdr:colOff>
          <xdr:row>23</xdr:row>
          <xdr:rowOff>238125</xdr:rowOff>
        </xdr:to>
        <xdr:sp macro="" textlink="">
          <xdr:nvSpPr>
            <xdr:cNvPr id="6322" name="Drop Down 178" hidden="1">
              <a:extLst>
                <a:ext uri="{63B3BB69-23CF-44E3-9099-C40C66FF867C}">
                  <a14:compatExt spid="_x0000_s6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24</xdr:row>
          <xdr:rowOff>38100</xdr:rowOff>
        </xdr:from>
        <xdr:to>
          <xdr:col>14</xdr:col>
          <xdr:colOff>257175</xdr:colOff>
          <xdr:row>24</xdr:row>
          <xdr:rowOff>219075</xdr:rowOff>
        </xdr:to>
        <xdr:sp macro="" textlink="">
          <xdr:nvSpPr>
            <xdr:cNvPr id="6323" name="Drop Down 179" hidden="1">
              <a:extLst>
                <a:ext uri="{63B3BB69-23CF-44E3-9099-C40C66FF867C}">
                  <a14:compatExt spid="_x0000_s6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112</xdr:row>
          <xdr:rowOff>19050</xdr:rowOff>
        </xdr:from>
        <xdr:to>
          <xdr:col>3</xdr:col>
          <xdr:colOff>2352675</xdr:colOff>
          <xdr:row>112</xdr:row>
          <xdr:rowOff>228600</xdr:rowOff>
        </xdr:to>
        <xdr:sp macro="" textlink="">
          <xdr:nvSpPr>
            <xdr:cNvPr id="6782" name="Drop Down 638" hidden="1">
              <a:extLst>
                <a:ext uri="{63B3BB69-23CF-44E3-9099-C40C66FF867C}">
                  <a14:compatExt spid="_x0000_s67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127</xdr:row>
          <xdr:rowOff>19050</xdr:rowOff>
        </xdr:from>
        <xdr:to>
          <xdr:col>3</xdr:col>
          <xdr:colOff>1762125</xdr:colOff>
          <xdr:row>127</xdr:row>
          <xdr:rowOff>228600</xdr:rowOff>
        </xdr:to>
        <xdr:sp macro="" textlink="">
          <xdr:nvSpPr>
            <xdr:cNvPr id="6783" name="Drop Down 639" hidden="1">
              <a:extLst>
                <a:ext uri="{63B3BB69-23CF-44E3-9099-C40C66FF867C}">
                  <a14:compatExt spid="_x0000_s67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1847850</xdr:colOff>
          <xdr:row>129</xdr:row>
          <xdr:rowOff>38100</xdr:rowOff>
        </xdr:from>
        <xdr:to>
          <xdr:col>4</xdr:col>
          <xdr:colOff>9525</xdr:colOff>
          <xdr:row>129</xdr:row>
          <xdr:rowOff>219075</xdr:rowOff>
        </xdr:to>
        <xdr:sp macro="" textlink="">
          <xdr:nvSpPr>
            <xdr:cNvPr id="6785" name="Drop Down 641" hidden="1">
              <a:extLst>
                <a:ext uri="{63B3BB69-23CF-44E3-9099-C40C66FF867C}">
                  <a14:compatExt spid="_x0000_s67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9525</xdr:rowOff>
        </xdr:from>
        <xdr:to>
          <xdr:col>3</xdr:col>
          <xdr:colOff>2324100</xdr:colOff>
          <xdr:row>7</xdr:row>
          <xdr:rowOff>238125</xdr:rowOff>
        </xdr:to>
        <xdr:sp macro="" textlink="">
          <xdr:nvSpPr>
            <xdr:cNvPr id="6786" name="Drop Down 642" hidden="1">
              <a:extLst>
                <a:ext uri="{63B3BB69-23CF-44E3-9099-C40C66FF867C}">
                  <a14:compatExt spid="_x0000_s67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18</xdr:row>
          <xdr:rowOff>28575</xdr:rowOff>
        </xdr:from>
        <xdr:to>
          <xdr:col>14</xdr:col>
          <xdr:colOff>247650</xdr:colOff>
          <xdr:row>18</xdr:row>
          <xdr:rowOff>219075</xdr:rowOff>
        </xdr:to>
        <xdr:sp macro="" textlink="">
          <xdr:nvSpPr>
            <xdr:cNvPr id="6788" name="Drop Down 644" hidden="1">
              <a:extLst>
                <a:ext uri="{63B3BB69-23CF-44E3-9099-C40C66FF867C}">
                  <a14:compatExt spid="_x0000_s67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1209675</xdr:colOff>
          <xdr:row>69</xdr:row>
          <xdr:rowOff>38100</xdr:rowOff>
        </xdr:from>
        <xdr:to>
          <xdr:col>3</xdr:col>
          <xdr:colOff>2324100</xdr:colOff>
          <xdr:row>69</xdr:row>
          <xdr:rowOff>219075</xdr:rowOff>
        </xdr:to>
        <xdr:sp macro="" textlink="">
          <xdr:nvSpPr>
            <xdr:cNvPr id="6899" name="Drop Down 755" hidden="1">
              <a:extLst>
                <a:ext uri="{63B3BB69-23CF-44E3-9099-C40C66FF867C}">
                  <a14:compatExt spid="_x0000_s6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933450</xdr:colOff>
          <xdr:row>25</xdr:row>
          <xdr:rowOff>38100</xdr:rowOff>
        </xdr:from>
        <xdr:to>
          <xdr:col>3</xdr:col>
          <xdr:colOff>2019300</xdr:colOff>
          <xdr:row>25</xdr:row>
          <xdr:rowOff>228600</xdr:rowOff>
        </xdr:to>
        <xdr:sp macro="" textlink="">
          <xdr:nvSpPr>
            <xdr:cNvPr id="89942" name="Drop Down 1878" hidden="1">
              <a:extLst>
                <a:ext uri="{63B3BB69-23CF-44E3-9099-C40C66FF867C}">
                  <a14:compatExt spid="_x0000_s89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162</xdr:row>
          <xdr:rowOff>9525</xdr:rowOff>
        </xdr:from>
        <xdr:to>
          <xdr:col>3</xdr:col>
          <xdr:colOff>2247900</xdr:colOff>
          <xdr:row>162</xdr:row>
          <xdr:rowOff>219075</xdr:rowOff>
        </xdr:to>
        <xdr:sp macro="" textlink="">
          <xdr:nvSpPr>
            <xdr:cNvPr id="100368" name="Drop Down 2064" hidden="1">
              <a:extLst>
                <a:ext uri="{63B3BB69-23CF-44E3-9099-C40C66FF867C}">
                  <a14:compatExt spid="_x0000_s100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163</xdr:row>
          <xdr:rowOff>19050</xdr:rowOff>
        </xdr:from>
        <xdr:to>
          <xdr:col>3</xdr:col>
          <xdr:colOff>2238375</xdr:colOff>
          <xdr:row>163</xdr:row>
          <xdr:rowOff>228600</xdr:rowOff>
        </xdr:to>
        <xdr:sp macro="" textlink="">
          <xdr:nvSpPr>
            <xdr:cNvPr id="100369" name="Drop Down 2065" hidden="1">
              <a:extLst>
                <a:ext uri="{63B3BB69-23CF-44E3-9099-C40C66FF867C}">
                  <a14:compatExt spid="_x0000_s100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164</xdr:row>
          <xdr:rowOff>19050</xdr:rowOff>
        </xdr:from>
        <xdr:to>
          <xdr:col>3</xdr:col>
          <xdr:colOff>2228850</xdr:colOff>
          <xdr:row>164</xdr:row>
          <xdr:rowOff>228600</xdr:rowOff>
        </xdr:to>
        <xdr:sp macro="" textlink="">
          <xdr:nvSpPr>
            <xdr:cNvPr id="100370" name="Drop Down 2066" hidden="1">
              <a:extLst>
                <a:ext uri="{63B3BB69-23CF-44E3-9099-C40C66FF867C}">
                  <a14:compatExt spid="_x0000_s100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323850</xdr:colOff>
          <xdr:row>19</xdr:row>
          <xdr:rowOff>38100</xdr:rowOff>
        </xdr:from>
        <xdr:to>
          <xdr:col>3</xdr:col>
          <xdr:colOff>2171700</xdr:colOff>
          <xdr:row>20</xdr:row>
          <xdr:rowOff>0</xdr:rowOff>
        </xdr:to>
        <xdr:sp macro="" textlink="">
          <xdr:nvSpPr>
            <xdr:cNvPr id="100463" name="Drop Down 2159" hidden="1">
              <a:extLst>
                <a:ext uri="{63B3BB69-23CF-44E3-9099-C40C66FF867C}">
                  <a14:compatExt spid="_x0000_s100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1743075</xdr:colOff>
          <xdr:row>127</xdr:row>
          <xdr:rowOff>19050</xdr:rowOff>
        </xdr:from>
        <xdr:to>
          <xdr:col>3</xdr:col>
          <xdr:colOff>2343150</xdr:colOff>
          <xdr:row>127</xdr:row>
          <xdr:rowOff>219075</xdr:rowOff>
        </xdr:to>
        <xdr:sp macro="" textlink="">
          <xdr:nvSpPr>
            <xdr:cNvPr id="100464" name="Drop Down 2160" hidden="1">
              <a:extLst>
                <a:ext uri="{63B3BB69-23CF-44E3-9099-C40C66FF867C}">
                  <a14:compatExt spid="_x0000_s100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63</xdr:row>
          <xdr:rowOff>19050</xdr:rowOff>
        </xdr:from>
        <xdr:to>
          <xdr:col>3</xdr:col>
          <xdr:colOff>2343150</xdr:colOff>
          <xdr:row>63</xdr:row>
          <xdr:rowOff>228600</xdr:rowOff>
        </xdr:to>
        <xdr:sp macro="" textlink="">
          <xdr:nvSpPr>
            <xdr:cNvPr id="100468" name="Drop Down 2164" hidden="1">
              <a:extLst>
                <a:ext uri="{63B3BB69-23CF-44E3-9099-C40C66FF867C}">
                  <a14:compatExt spid="_x0000_s100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145</xdr:row>
          <xdr:rowOff>38100</xdr:rowOff>
        </xdr:from>
        <xdr:to>
          <xdr:col>3</xdr:col>
          <xdr:colOff>2343150</xdr:colOff>
          <xdr:row>145</xdr:row>
          <xdr:rowOff>219075</xdr:rowOff>
        </xdr:to>
        <xdr:sp macro="" textlink="">
          <xdr:nvSpPr>
            <xdr:cNvPr id="100469" name="Drop Down 2165" hidden="1">
              <a:extLst>
                <a:ext uri="{63B3BB69-23CF-44E3-9099-C40C66FF867C}">
                  <a14:compatExt spid="_x0000_s100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146</xdr:row>
          <xdr:rowOff>28575</xdr:rowOff>
        </xdr:from>
        <xdr:to>
          <xdr:col>3</xdr:col>
          <xdr:colOff>2333625</xdr:colOff>
          <xdr:row>146</xdr:row>
          <xdr:rowOff>219075</xdr:rowOff>
        </xdr:to>
        <xdr:sp macro="" textlink="">
          <xdr:nvSpPr>
            <xdr:cNvPr id="100470" name="Drop Down 2166" hidden="1">
              <a:extLst>
                <a:ext uri="{63B3BB69-23CF-44E3-9099-C40C66FF867C}">
                  <a14:compatExt spid="_x0000_s100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147</xdr:row>
          <xdr:rowOff>28575</xdr:rowOff>
        </xdr:from>
        <xdr:to>
          <xdr:col>3</xdr:col>
          <xdr:colOff>2343150</xdr:colOff>
          <xdr:row>147</xdr:row>
          <xdr:rowOff>219075</xdr:rowOff>
        </xdr:to>
        <xdr:sp macro="" textlink="">
          <xdr:nvSpPr>
            <xdr:cNvPr id="100471" name="Drop Down 2167" hidden="1">
              <a:extLst>
                <a:ext uri="{63B3BB69-23CF-44E3-9099-C40C66FF867C}">
                  <a14:compatExt spid="_x0000_s100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148</xdr:row>
          <xdr:rowOff>28575</xdr:rowOff>
        </xdr:from>
        <xdr:to>
          <xdr:col>3</xdr:col>
          <xdr:colOff>2333625</xdr:colOff>
          <xdr:row>148</xdr:row>
          <xdr:rowOff>219075</xdr:rowOff>
        </xdr:to>
        <xdr:sp macro="" textlink="">
          <xdr:nvSpPr>
            <xdr:cNvPr id="100472" name="Drop Down 2168" hidden="1">
              <a:extLst>
                <a:ext uri="{63B3BB69-23CF-44E3-9099-C40C66FF867C}">
                  <a14:compatExt spid="_x0000_s100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</xdr:colOff>
      <xdr:row>2</xdr:row>
      <xdr:rowOff>31749</xdr:rowOff>
    </xdr:from>
    <xdr:ext cx="7197869" cy="498085"/>
    <xdr:sp macro="" textlink="">
      <xdr:nvSpPr>
        <xdr:cNvPr id="3" name="สี่เหลี่ยมผืนผ้า 2"/>
        <xdr:cNvSpPr/>
      </xdr:nvSpPr>
      <xdr:spPr>
        <a:xfrm>
          <a:off x="23812" y="603249"/>
          <a:ext cx="7197869" cy="498085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ปรับแก้ตามกรมบัญชีกลาง</a:t>
          </a:r>
          <a:r>
            <a:rPr lang="en-US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เมื่อ วันที่ </a:t>
          </a:r>
          <a:r>
            <a:rPr lang="en-US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2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5 พฤศจิกายน   2558</a:t>
          </a:r>
          <a:endParaRPr lang="th-TH" sz="2800" b="1" cap="none" spc="50">
            <a:ln w="11430"/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 fPrint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71431</xdr:colOff>
      <xdr:row>3</xdr:row>
      <xdr:rowOff>0</xdr:rowOff>
    </xdr:from>
    <xdr:ext cx="6684818" cy="498085"/>
    <xdr:sp macro="" textlink="">
      <xdr:nvSpPr>
        <xdr:cNvPr id="8" name="สี่เหลี่ยมผืนผ้า 7"/>
        <xdr:cNvSpPr/>
      </xdr:nvSpPr>
      <xdr:spPr>
        <a:xfrm>
          <a:off x="71431" y="841375"/>
          <a:ext cx="6684818" cy="498085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ปรับแก้ตามกรมบัญชีกลาง</a:t>
          </a:r>
          <a:r>
            <a:rPr lang="en-US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เมื่อ วันที่ </a:t>
          </a:r>
          <a:r>
            <a:rPr lang="en-US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2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5 พฤศจิกายน 2558</a:t>
          </a:r>
          <a:endParaRPr lang="th-TH" sz="2800" b="1" cap="none" spc="50">
            <a:ln w="11430"/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 fPrint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64</xdr:row>
          <xdr:rowOff>9525</xdr:rowOff>
        </xdr:from>
        <xdr:to>
          <xdr:col>5</xdr:col>
          <xdr:colOff>428625</xdr:colOff>
          <xdr:row>64</xdr:row>
          <xdr:rowOff>171450</xdr:rowOff>
        </xdr:to>
        <xdr:sp macro="" textlink="">
          <xdr:nvSpPr>
            <xdr:cNvPr id="97281" name="Drop Down 1" hidden="1">
              <a:extLst>
                <a:ext uri="{63B3BB69-23CF-44E3-9099-C40C66FF867C}">
                  <a14:compatExt spid="_x0000_s97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62</xdr:row>
          <xdr:rowOff>9525</xdr:rowOff>
        </xdr:from>
        <xdr:to>
          <xdr:col>6</xdr:col>
          <xdr:colOff>9525</xdr:colOff>
          <xdr:row>62</xdr:row>
          <xdr:rowOff>161925</xdr:rowOff>
        </xdr:to>
        <xdr:sp macro="" textlink="">
          <xdr:nvSpPr>
            <xdr:cNvPr id="97282" name="Drop Down 2" hidden="1">
              <a:extLst>
                <a:ext uri="{63B3BB69-23CF-44E3-9099-C40C66FF867C}">
                  <a14:compatExt spid="_x0000_s97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60</xdr:row>
          <xdr:rowOff>47625</xdr:rowOff>
        </xdr:from>
        <xdr:to>
          <xdr:col>6</xdr:col>
          <xdr:colOff>123825</xdr:colOff>
          <xdr:row>60</xdr:row>
          <xdr:rowOff>180975</xdr:rowOff>
        </xdr:to>
        <xdr:sp macro="" textlink="">
          <xdr:nvSpPr>
            <xdr:cNvPr id="97283" name="Drop Down 3" hidden="1">
              <a:extLst>
                <a:ext uri="{63B3BB69-23CF-44E3-9099-C40C66FF867C}">
                  <a14:compatExt spid="_x0000_s97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40</xdr:row>
          <xdr:rowOff>19050</xdr:rowOff>
        </xdr:from>
        <xdr:to>
          <xdr:col>4</xdr:col>
          <xdr:colOff>266700</xdr:colOff>
          <xdr:row>40</xdr:row>
          <xdr:rowOff>200025</xdr:rowOff>
        </xdr:to>
        <xdr:sp macro="" textlink="">
          <xdr:nvSpPr>
            <xdr:cNvPr id="97284" name="Drop Down 4" hidden="1">
              <a:extLst>
                <a:ext uri="{63B3BB69-23CF-44E3-9099-C40C66FF867C}">
                  <a14:compatExt spid="_x0000_s97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40</xdr:row>
          <xdr:rowOff>38100</xdr:rowOff>
        </xdr:from>
        <xdr:to>
          <xdr:col>7</xdr:col>
          <xdr:colOff>438150</xdr:colOff>
          <xdr:row>41</xdr:row>
          <xdr:rowOff>0</xdr:rowOff>
        </xdr:to>
        <xdr:sp macro="" textlink="">
          <xdr:nvSpPr>
            <xdr:cNvPr id="97285" name="Drop Down 5" hidden="1">
              <a:extLst>
                <a:ext uri="{63B3BB69-23CF-44E3-9099-C40C66FF867C}">
                  <a14:compatExt spid="_x0000_s97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40</xdr:row>
          <xdr:rowOff>28575</xdr:rowOff>
        </xdr:from>
        <xdr:to>
          <xdr:col>9</xdr:col>
          <xdr:colOff>152400</xdr:colOff>
          <xdr:row>40</xdr:row>
          <xdr:rowOff>190500</xdr:rowOff>
        </xdr:to>
        <xdr:sp macro="" textlink="">
          <xdr:nvSpPr>
            <xdr:cNvPr id="97286" name="Drop Down 6" hidden="1">
              <a:extLst>
                <a:ext uri="{63B3BB69-23CF-44E3-9099-C40C66FF867C}">
                  <a14:compatExt spid="_x0000_s97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6684818" cy="498085"/>
    <xdr:sp macro="" textlink="">
      <xdr:nvSpPr>
        <xdr:cNvPr id="2" name="สี่เหลี่ยมผืนผ้า 1"/>
        <xdr:cNvSpPr/>
      </xdr:nvSpPr>
      <xdr:spPr>
        <a:xfrm>
          <a:off x="0" y="531813"/>
          <a:ext cx="6684818" cy="498085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ปรับแก้ตามกรมบัญชีกลาง</a:t>
          </a:r>
          <a:r>
            <a:rPr lang="en-US" sz="28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เมื่อ วันที่ </a:t>
          </a:r>
          <a:r>
            <a:rPr lang="en-US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2</a:t>
          </a:r>
          <a:r>
            <a:rPr lang="th-TH" sz="28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5 พฤศจิกายน   2558</a:t>
          </a:r>
          <a:endParaRPr lang="th-TH" sz="2800" b="1" cap="none" spc="50">
            <a:ln w="11430"/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 fPrint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100</xdr:row>
      <xdr:rowOff>95250</xdr:rowOff>
    </xdr:from>
    <xdr:to>
      <xdr:col>2</xdr:col>
      <xdr:colOff>790575</xdr:colOff>
      <xdr:row>107</xdr:row>
      <xdr:rowOff>114300</xdr:rowOff>
    </xdr:to>
    <xdr:pic>
      <xdr:nvPicPr>
        <xdr:cNvPr id="98445" name="รูปภาพ 1" descr="Untitled.t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621" b="65051"/>
        <a:stretch>
          <a:fillRect/>
        </a:stretch>
      </xdr:blipFill>
      <xdr:spPr bwMode="auto">
        <a:xfrm>
          <a:off x="85725" y="20402550"/>
          <a:ext cx="1733550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89</xdr:row>
      <xdr:rowOff>47625</xdr:rowOff>
    </xdr:from>
    <xdr:to>
      <xdr:col>2</xdr:col>
      <xdr:colOff>685800</xdr:colOff>
      <xdr:row>96</xdr:row>
      <xdr:rowOff>57150</xdr:rowOff>
    </xdr:to>
    <xdr:pic>
      <xdr:nvPicPr>
        <xdr:cNvPr id="98446" name="รูปภาพ 2" descr="Untitled2.t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57" b="68880"/>
        <a:stretch>
          <a:fillRect/>
        </a:stretch>
      </xdr:blipFill>
      <xdr:spPr bwMode="auto">
        <a:xfrm>
          <a:off x="142875" y="17611725"/>
          <a:ext cx="15716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60</xdr:row>
          <xdr:rowOff>28575</xdr:rowOff>
        </xdr:from>
        <xdr:to>
          <xdr:col>1</xdr:col>
          <xdr:colOff>657225</xdr:colOff>
          <xdr:row>60</xdr:row>
          <xdr:rowOff>257175</xdr:rowOff>
        </xdr:to>
        <xdr:sp macro="" textlink="">
          <xdr:nvSpPr>
            <xdr:cNvPr id="57349" name="Drop Down 5" hidden="1">
              <a:extLst>
                <a:ext uri="{63B3BB69-23CF-44E3-9099-C40C66FF867C}">
                  <a14:compatExt spid="_x0000_s57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566737</xdr:colOff>
      <xdr:row>0</xdr:row>
      <xdr:rowOff>259560</xdr:rowOff>
    </xdr:from>
    <xdr:ext cx="6684818" cy="556050"/>
    <xdr:sp macro="" textlink="">
      <xdr:nvSpPr>
        <xdr:cNvPr id="2" name="สี่เหลี่ยมผืนผ้า 1"/>
        <xdr:cNvSpPr/>
      </xdr:nvSpPr>
      <xdr:spPr>
        <a:xfrm>
          <a:off x="8151018" y="259560"/>
          <a:ext cx="6684818" cy="556050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th-TH" sz="3200" b="1" cap="none" spc="5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ปรับแก้ตามกรมบัญชีกลาง </a:t>
          </a:r>
          <a:r>
            <a:rPr lang="th-TH" sz="3200" b="1" cap="none" spc="50" baseline="0">
              <a:ln w="11430"/>
              <a:solidFill>
                <a:srgbClr val="FF000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เมื่อ วันที่ 22 ตุลาคม   2558</a:t>
          </a:r>
          <a:endParaRPr lang="th-TH" sz="3200" b="1" cap="none" spc="50">
            <a:ln w="11430"/>
            <a:solidFill>
              <a:srgbClr val="FF000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</xdr:colOff>
      <xdr:row>60</xdr:row>
      <xdr:rowOff>247650</xdr:rowOff>
    </xdr:from>
    <xdr:to>
      <xdr:col>17</xdr:col>
      <xdr:colOff>466725</xdr:colOff>
      <xdr:row>66</xdr:row>
      <xdr:rowOff>228600</xdr:rowOff>
    </xdr:to>
    <xdr:pic>
      <xdr:nvPicPr>
        <xdr:cNvPr id="49835" name="รูปภาพ 1" descr="Untitled-1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15382875"/>
          <a:ext cx="275272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152400</xdr:colOff>
      <xdr:row>60</xdr:row>
      <xdr:rowOff>247650</xdr:rowOff>
    </xdr:from>
    <xdr:to>
      <xdr:col>30</xdr:col>
      <xdr:colOff>409575</xdr:colOff>
      <xdr:row>66</xdr:row>
      <xdr:rowOff>76200</xdr:rowOff>
    </xdr:to>
    <xdr:pic>
      <xdr:nvPicPr>
        <xdr:cNvPr id="99391" name="รูปภาพ 1" descr="Untitled-1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7200" y="16249650"/>
          <a:ext cx="275272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76200</xdr:colOff>
      <xdr:row>8</xdr:row>
      <xdr:rowOff>38100</xdr:rowOff>
    </xdr:from>
    <xdr:to>
      <xdr:col>26</xdr:col>
      <xdr:colOff>495300</xdr:colOff>
      <xdr:row>16</xdr:row>
      <xdr:rowOff>228600</xdr:rowOff>
    </xdr:to>
    <xdr:pic>
      <xdr:nvPicPr>
        <xdr:cNvPr id="99392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39" t="22375" r="24857" b="21864"/>
        <a:stretch>
          <a:fillRect/>
        </a:stretch>
      </xdr:blipFill>
      <xdr:spPr bwMode="auto">
        <a:xfrm>
          <a:off x="12687300" y="2133600"/>
          <a:ext cx="3352800" cy="2095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502227</xdr:colOff>
      <xdr:row>44</xdr:row>
      <xdr:rowOff>55465</xdr:rowOff>
    </xdr:from>
    <xdr:ext cx="8788977" cy="671898"/>
    <xdr:sp macro="" textlink="">
      <xdr:nvSpPr>
        <xdr:cNvPr id="2" name="สี่เหลี่ยมผืนผ้า 1"/>
        <xdr:cNvSpPr/>
      </xdr:nvSpPr>
      <xdr:spPr>
        <a:xfrm>
          <a:off x="2996045" y="12489920"/>
          <a:ext cx="8788977" cy="67189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th-TH" sz="6000" b="1" cap="none" spc="15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งานวางท่อแก้ไขเมื่อ</a:t>
          </a:r>
          <a:r>
            <a:rPr lang="th-TH" sz="60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en-US" sz="60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4</a:t>
          </a:r>
          <a:r>
            <a:rPr lang="th-TH" sz="60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สิงหาคม 2558</a:t>
          </a:r>
          <a:endParaRPr lang="th-TH" sz="6000" b="1" cap="none" spc="150">
            <a:ln w="11430"/>
            <a:solidFill>
              <a:srgbClr val="FF0000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10</xdr:col>
      <xdr:colOff>0</xdr:colOff>
      <xdr:row>50</xdr:row>
      <xdr:rowOff>0</xdr:rowOff>
    </xdr:from>
    <xdr:ext cx="9612167" cy="1598084"/>
    <xdr:sp macro="" textlink="">
      <xdr:nvSpPr>
        <xdr:cNvPr id="3" name="สี่เหลี่ยมผืนผ้า 2"/>
        <xdr:cNvSpPr/>
      </xdr:nvSpPr>
      <xdr:spPr>
        <a:xfrm>
          <a:off x="8688917" y="14202833"/>
          <a:ext cx="9612167" cy="1598084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th-TH" sz="4400" b="1" cap="none" spc="15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งานวางท่อแก้ไขเมื่อ</a:t>
          </a:r>
          <a:r>
            <a:rPr lang="th-TH" sz="4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</a:t>
          </a:r>
          <a:r>
            <a:rPr lang="en-US" sz="4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4</a:t>
          </a:r>
          <a:r>
            <a:rPr lang="th-TH" sz="4400" b="1" cap="none" spc="150" baseline="0">
              <a:ln w="11430"/>
              <a:solidFill>
                <a:srgbClr val="FF0000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TH SarabunPSK" pitchFamily="34" charset="-34"/>
              <a:cs typeface="TH SarabunPSK" pitchFamily="34" charset="-34"/>
            </a:rPr>
            <a:t> สิงหาคม 2558ตามแบบมาตรฐานที่ ทช.ท.5-103/45</a:t>
          </a:r>
          <a:endParaRPr lang="th-TH" sz="4400" b="1" cap="none" spc="150">
            <a:ln w="11430"/>
            <a:solidFill>
              <a:srgbClr val="FF0000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26" Type="http://schemas.openxmlformats.org/officeDocument/2006/relationships/ctrlProp" Target="../ctrlProps/ctrlProp38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33.xml"/><Relationship Id="rId34" Type="http://schemas.openxmlformats.org/officeDocument/2006/relationships/ctrlProp" Target="../ctrlProps/ctrlProp46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5" Type="http://schemas.openxmlformats.org/officeDocument/2006/relationships/ctrlProp" Target="../ctrlProps/ctrlProp37.xml"/><Relationship Id="rId33" Type="http://schemas.openxmlformats.org/officeDocument/2006/relationships/ctrlProp" Target="../ctrlProps/ctrlProp45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29" Type="http://schemas.openxmlformats.org/officeDocument/2006/relationships/ctrlProp" Target="../ctrlProps/ctrlProp41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24" Type="http://schemas.openxmlformats.org/officeDocument/2006/relationships/ctrlProp" Target="../ctrlProps/ctrlProp36.xml"/><Relationship Id="rId32" Type="http://schemas.openxmlformats.org/officeDocument/2006/relationships/ctrlProp" Target="../ctrlProps/ctrlProp44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23" Type="http://schemas.openxmlformats.org/officeDocument/2006/relationships/ctrlProp" Target="../ctrlProps/ctrlProp35.xml"/><Relationship Id="rId28" Type="http://schemas.openxmlformats.org/officeDocument/2006/relationships/ctrlProp" Target="../ctrlProps/ctrlProp40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31" Type="http://schemas.openxmlformats.org/officeDocument/2006/relationships/ctrlProp" Target="../ctrlProps/ctrlProp43.xml"/><Relationship Id="rId4" Type="http://schemas.openxmlformats.org/officeDocument/2006/relationships/ctrlProp" Target="../ctrlProps/ctrlProp16.x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Relationship Id="rId22" Type="http://schemas.openxmlformats.org/officeDocument/2006/relationships/ctrlProp" Target="../ctrlProps/ctrlProp34.xml"/><Relationship Id="rId27" Type="http://schemas.openxmlformats.org/officeDocument/2006/relationships/ctrlProp" Target="../ctrlProps/ctrlProp39.xml"/><Relationship Id="rId30" Type="http://schemas.openxmlformats.org/officeDocument/2006/relationships/ctrlProp" Target="../ctrlProps/ctrlProp42.xml"/><Relationship Id="rId35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50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53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10"/>
  </sheetPr>
  <dimension ref="A1:J28"/>
  <sheetViews>
    <sheetView tabSelected="1" zoomScale="80" zoomScaleNormal="80" workbookViewId="0">
      <selection activeCell="E17" sqref="E17"/>
    </sheetView>
  </sheetViews>
  <sheetFormatPr defaultColWidth="9.140625" defaultRowHeight="21.75"/>
  <cols>
    <col min="1" max="1" width="11.140625" style="171" customWidth="1"/>
    <col min="2" max="2" width="12" style="171" customWidth="1"/>
    <col min="3" max="3" width="12.85546875" style="171" customWidth="1"/>
    <col min="4" max="5" width="9.140625" style="171"/>
    <col min="6" max="6" width="10" style="171" customWidth="1"/>
    <col min="7" max="16384" width="9.140625" style="171"/>
  </cols>
  <sheetData>
    <row r="1" spans="1:10">
      <c r="A1" s="1255"/>
      <c r="B1" s="1205"/>
      <c r="C1" s="1205"/>
      <c r="D1" s="1205"/>
      <c r="E1" s="1205"/>
      <c r="F1" s="1205"/>
      <c r="G1" s="1205"/>
      <c r="H1" s="1205"/>
      <c r="I1" s="1205"/>
      <c r="J1" s="1256"/>
    </row>
    <row r="2" spans="1:10">
      <c r="A2" s="1207"/>
      <c r="B2" s="885"/>
      <c r="C2" s="885"/>
      <c r="D2" s="885"/>
      <c r="E2" s="885"/>
      <c r="F2" s="885"/>
      <c r="G2" s="885"/>
      <c r="H2" s="885"/>
      <c r="I2" s="885"/>
      <c r="J2" s="1257"/>
    </row>
    <row r="3" spans="1:10">
      <c r="A3" s="1207"/>
      <c r="B3" s="885"/>
      <c r="C3" s="885"/>
      <c r="D3" s="885"/>
      <c r="E3" s="885"/>
      <c r="F3" s="885"/>
      <c r="G3" s="885"/>
      <c r="H3" s="885"/>
      <c r="I3" s="885"/>
      <c r="J3" s="1257"/>
    </row>
    <row r="4" spans="1:10">
      <c r="A4" s="1207"/>
      <c r="B4" s="885"/>
      <c r="C4" s="885"/>
      <c r="D4" s="885"/>
      <c r="E4" s="885"/>
      <c r="F4" s="885"/>
      <c r="G4" s="885"/>
      <c r="H4" s="885"/>
      <c r="I4" s="885"/>
      <c r="J4" s="1257"/>
    </row>
    <row r="5" spans="1:10">
      <c r="A5" s="1207"/>
      <c r="B5" s="885"/>
      <c r="C5" s="885"/>
      <c r="D5" s="885"/>
      <c r="E5" s="885"/>
      <c r="F5" s="885"/>
      <c r="G5" s="885"/>
      <c r="H5" s="885"/>
      <c r="I5" s="885"/>
      <c r="J5" s="1257"/>
    </row>
    <row r="6" spans="1:10">
      <c r="A6" s="1207"/>
      <c r="B6" s="885"/>
      <c r="C6" s="885"/>
      <c r="D6" s="885"/>
      <c r="E6" s="885"/>
      <c r="F6" s="885"/>
      <c r="G6" s="885"/>
      <c r="H6" s="885"/>
      <c r="I6" s="885"/>
      <c r="J6" s="1257"/>
    </row>
    <row r="7" spans="1:10">
      <c r="A7" s="1207"/>
      <c r="B7" s="885"/>
      <c r="C7" s="885"/>
      <c r="D7" s="885"/>
      <c r="E7" s="885"/>
      <c r="F7" s="885"/>
      <c r="G7" s="885"/>
      <c r="H7" s="885"/>
      <c r="I7" s="885"/>
      <c r="J7" s="1257"/>
    </row>
    <row r="8" spans="1:10">
      <c r="A8" s="1207"/>
      <c r="B8" s="885"/>
      <c r="C8" s="885"/>
      <c r="D8" s="885"/>
      <c r="E8" s="885"/>
      <c r="F8" s="885"/>
      <c r="G8" s="885"/>
      <c r="H8" s="885"/>
      <c r="I8" s="885"/>
      <c r="J8" s="1257"/>
    </row>
    <row r="9" spans="1:10">
      <c r="A9" s="1207"/>
      <c r="B9" s="885"/>
      <c r="C9" s="885"/>
      <c r="D9" s="885"/>
      <c r="E9" s="885"/>
      <c r="F9" s="885"/>
      <c r="G9" s="885"/>
      <c r="H9" s="885"/>
      <c r="I9" s="885"/>
      <c r="J9" s="1257"/>
    </row>
    <row r="10" spans="1:10" ht="54">
      <c r="A10" s="1207"/>
      <c r="B10" s="2451" t="str">
        <f>+ปร.5_Roads!C5</f>
        <v>แขวงทางหลวงชนบทสงขลา</v>
      </c>
      <c r="C10" s="2451"/>
      <c r="D10" s="2451"/>
      <c r="E10" s="2451"/>
      <c r="F10" s="2451"/>
      <c r="G10" s="2451"/>
      <c r="H10" s="2451"/>
      <c r="I10" s="2451"/>
      <c r="J10" s="1257"/>
    </row>
    <row r="11" spans="1:10">
      <c r="A11" s="1207"/>
      <c r="B11" s="885"/>
      <c r="C11" s="885"/>
      <c r="D11" s="885"/>
      <c r="E11" s="885"/>
      <c r="F11" s="885"/>
      <c r="G11" s="885"/>
      <c r="H11" s="885"/>
      <c r="I11" s="885"/>
      <c r="J11" s="1257"/>
    </row>
    <row r="12" spans="1:10" ht="33.75" customHeight="1">
      <c r="A12" s="2452" t="s">
        <v>1480</v>
      </c>
      <c r="B12" s="2453"/>
      <c r="C12" s="2453"/>
      <c r="D12" s="2453"/>
      <c r="E12" s="2453"/>
      <c r="F12" s="2453"/>
      <c r="G12" s="2453"/>
      <c r="H12" s="2453"/>
      <c r="I12" s="2453"/>
      <c r="J12" s="2454"/>
    </row>
    <row r="13" spans="1:10" ht="33.75" customHeight="1">
      <c r="A13" s="1258"/>
      <c r="B13" s="1259"/>
      <c r="C13" s="1259"/>
      <c r="D13" s="1259"/>
      <c r="E13" s="1259"/>
      <c r="F13" s="1259"/>
      <c r="G13" s="1259"/>
      <c r="H13" s="1259"/>
      <c r="I13" s="1259"/>
      <c r="J13" s="1260"/>
    </row>
    <row r="14" spans="1:10" ht="33">
      <c r="A14" s="1207"/>
      <c r="B14" s="1261"/>
      <c r="C14" s="885"/>
      <c r="D14" s="885"/>
      <c r="E14" s="885"/>
      <c r="F14" s="885"/>
      <c r="G14" s="885"/>
      <c r="H14" s="885"/>
      <c r="I14" s="885"/>
      <c r="J14" s="1257"/>
    </row>
    <row r="15" spans="1:10" ht="28.5" customHeight="1">
      <c r="A15" s="2455" t="str">
        <f>"กิจกรรม  :  "&amp;ปร.5_Roads!C4</f>
        <v xml:space="preserve">กิจกรรม  :  บำรุงพิเศษ ซ่อมสร้างผิวทาง Asphaltic Concrete </v>
      </c>
      <c r="B15" s="2456"/>
      <c r="C15" s="2456"/>
      <c r="D15" s="2456"/>
      <c r="E15" s="2456"/>
      <c r="F15" s="2456"/>
      <c r="G15" s="2456"/>
      <c r="H15" s="2456"/>
      <c r="I15" s="2456"/>
      <c r="J15" s="2457"/>
    </row>
    <row r="16" spans="1:10" ht="33" customHeight="1">
      <c r="A16" s="2455"/>
      <c r="B16" s="2456"/>
      <c r="C16" s="2456"/>
      <c r="D16" s="2456"/>
      <c r="E16" s="2456"/>
      <c r="F16" s="2456"/>
      <c r="G16" s="2456"/>
      <c r="H16" s="2456"/>
      <c r="I16" s="2456"/>
      <c r="J16" s="2457"/>
    </row>
    <row r="17" spans="1:10" ht="33">
      <c r="A17" s="1262" t="s">
        <v>1481</v>
      </c>
      <c r="B17" s="885"/>
      <c r="C17" s="1263" t="str">
        <f>+ปร.5_Roads!C6</f>
        <v>ปน.4031</v>
      </c>
      <c r="D17" s="2029" t="s">
        <v>1482</v>
      </c>
      <c r="E17" s="1264" t="str">
        <f>+ปร.5_Roads!F6</f>
        <v>แยกทางหลวงหมายเลข 4157-บ้านปาตา</v>
      </c>
      <c r="F17" s="1265"/>
      <c r="G17" s="1265"/>
      <c r="H17" s="1265"/>
      <c r="I17" s="1265"/>
      <c r="J17" s="1266"/>
    </row>
    <row r="18" spans="1:10" ht="33">
      <c r="A18" s="1262" t="s">
        <v>363</v>
      </c>
      <c r="B18" s="885"/>
      <c r="C18" s="1264" t="str">
        <f>+ปร.5_Roads!C7</f>
        <v>อำเภอ  ปะนาเระ,ยะหริ่ง จังหวัด ปัตตานี</v>
      </c>
      <c r="D18" s="885"/>
      <c r="E18" s="885"/>
      <c r="F18" s="1261"/>
      <c r="G18" s="1263"/>
      <c r="H18" s="885"/>
      <c r="I18" s="885"/>
      <c r="J18" s="1257"/>
    </row>
    <row r="19" spans="1:10" ht="33">
      <c r="A19" s="1262" t="s">
        <v>21</v>
      </c>
      <c r="B19" s="1267"/>
      <c r="C19" s="1309">
        <f>+ปร.5_Roads!E10</f>
        <v>1.5229999999999999</v>
      </c>
      <c r="D19" s="1310" t="s">
        <v>1658</v>
      </c>
      <c r="E19" s="1267"/>
      <c r="G19" s="2459">
        <f>+ปร.5_Roads!I24</f>
        <v>7920000</v>
      </c>
      <c r="H19" s="2459"/>
      <c r="I19" s="1310" t="s">
        <v>43</v>
      </c>
      <c r="J19" s="1257"/>
    </row>
    <row r="20" spans="1:10" ht="33">
      <c r="A20" s="1262" t="s">
        <v>1659</v>
      </c>
      <c r="B20" s="1267"/>
      <c r="C20" s="1311">
        <v>6</v>
      </c>
      <c r="D20" s="1310" t="s">
        <v>1660</v>
      </c>
      <c r="E20" s="1312"/>
      <c r="F20" s="1312"/>
      <c r="G20" s="2460">
        <v>1</v>
      </c>
      <c r="H20" s="2460"/>
      <c r="I20" s="1261" t="s">
        <v>182</v>
      </c>
      <c r="J20" s="1257"/>
    </row>
    <row r="21" spans="1:10" ht="33">
      <c r="A21" s="1207"/>
      <c r="B21" s="1267"/>
      <c r="H21" s="1267"/>
      <c r="I21" s="1267"/>
      <c r="J21" s="1257"/>
    </row>
    <row r="22" spans="1:10" ht="36">
      <c r="A22" s="1207"/>
      <c r="B22" s="885"/>
      <c r="C22" s="2458" t="str">
        <f>+"ปีงบประมาณ "&amp;แหล่งวัสดุ!L4</f>
        <v>ปีงบประมาณ 2559</v>
      </c>
      <c r="D22" s="2458"/>
      <c r="E22" s="2458"/>
      <c r="F22" s="2458"/>
      <c r="G22" s="2458"/>
      <c r="H22" s="885"/>
      <c r="I22" s="885"/>
      <c r="J22" s="1257"/>
    </row>
    <row r="23" spans="1:10">
      <c r="A23" s="1207"/>
      <c r="B23" s="885"/>
      <c r="C23" s="885"/>
      <c r="D23" s="885"/>
      <c r="E23" s="885"/>
      <c r="F23" s="885"/>
      <c r="G23" s="885"/>
      <c r="H23" s="885"/>
      <c r="I23" s="885"/>
      <c r="J23" s="1257"/>
    </row>
    <row r="24" spans="1:10">
      <c r="A24" s="1207"/>
      <c r="B24" s="885"/>
      <c r="C24" s="885"/>
      <c r="D24" s="885"/>
      <c r="E24" s="885"/>
      <c r="F24" s="885"/>
      <c r="G24" s="885"/>
      <c r="H24" s="885"/>
      <c r="I24" s="885"/>
      <c r="J24" s="1257"/>
    </row>
    <row r="25" spans="1:10">
      <c r="A25" s="1207"/>
      <c r="B25" s="885"/>
      <c r="C25" s="885"/>
      <c r="D25" s="885"/>
      <c r="E25" s="885"/>
      <c r="F25" s="885"/>
      <c r="G25" s="885"/>
      <c r="H25" s="885"/>
      <c r="I25" s="885"/>
      <c r="J25" s="1257"/>
    </row>
    <row r="26" spans="1:10">
      <c r="A26" s="1207"/>
      <c r="B26" s="885"/>
      <c r="C26" s="885"/>
      <c r="D26" s="885"/>
      <c r="E26" s="885"/>
      <c r="F26" s="885"/>
      <c r="G26" s="885"/>
      <c r="H26" s="885"/>
      <c r="I26" s="885"/>
      <c r="J26" s="1257"/>
    </row>
    <row r="27" spans="1:10">
      <c r="A27" s="1207"/>
      <c r="B27" s="885"/>
      <c r="C27" s="885"/>
      <c r="D27" s="885"/>
      <c r="E27" s="885"/>
      <c r="F27" s="885"/>
      <c r="G27" s="885"/>
      <c r="H27" s="885"/>
      <c r="I27" s="885"/>
      <c r="J27" s="1257"/>
    </row>
    <row r="28" spans="1:10" ht="22.5" thickBot="1">
      <c r="A28" s="1268"/>
      <c r="B28" s="1211"/>
      <c r="C28" s="1211"/>
      <c r="D28" s="1211"/>
      <c r="E28" s="1211"/>
      <c r="F28" s="1211"/>
      <c r="G28" s="1211"/>
      <c r="H28" s="1211"/>
      <c r="I28" s="1211"/>
      <c r="J28" s="1269"/>
    </row>
  </sheetData>
  <mergeCells count="6">
    <mergeCell ref="B10:I10"/>
    <mergeCell ref="A12:J12"/>
    <mergeCell ref="A15:J16"/>
    <mergeCell ref="C22:G22"/>
    <mergeCell ref="G19:H19"/>
    <mergeCell ref="G20:H20"/>
  </mergeCells>
  <pageMargins left="0.74803149606299213" right="0.15748031496062992" top="0.98425196850393704" bottom="0.98425196850393704" header="0.51181102362204722" footer="0.51181102362204722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CC3399"/>
  </sheetPr>
  <dimension ref="A1:BQ77"/>
  <sheetViews>
    <sheetView topLeftCell="A7" zoomScale="110" zoomScaleNormal="110" workbookViewId="0">
      <selection activeCell="AB17" sqref="AB17"/>
    </sheetView>
  </sheetViews>
  <sheetFormatPr defaultColWidth="9.140625" defaultRowHeight="27.75"/>
  <cols>
    <col min="1" max="1" width="5.7109375" style="809" customWidth="1"/>
    <col min="2" max="2" width="14.7109375" style="809" customWidth="1"/>
    <col min="3" max="3" width="9.5703125" style="809" customWidth="1"/>
    <col min="4" max="4" width="12.5703125" style="809" customWidth="1"/>
    <col min="5" max="5" width="23.7109375" style="809" bestFit="1" customWidth="1"/>
    <col min="6" max="6" width="11.5703125" style="809" customWidth="1"/>
    <col min="7" max="7" width="11.7109375" style="809" customWidth="1"/>
    <col min="8" max="8" width="9.28515625" style="809" bestFit="1" customWidth="1"/>
    <col min="9" max="9" width="5" style="809" customWidth="1"/>
    <col min="10" max="10" width="9.140625" style="809"/>
    <col min="11" max="11" width="20.85546875" style="809" bestFit="1" customWidth="1"/>
    <col min="12" max="12" width="10" style="809" bestFit="1" customWidth="1"/>
    <col min="13" max="13" width="12.85546875" style="809" customWidth="1"/>
    <col min="14" max="14" width="18" style="809" bestFit="1" customWidth="1"/>
    <col min="15" max="16" width="9.42578125" style="809" bestFit="1" customWidth="1"/>
    <col min="17" max="19" width="9.140625" style="809"/>
    <col min="20" max="20" width="9.7109375" style="809" customWidth="1"/>
    <col min="21" max="22" width="9.140625" style="809"/>
    <col min="23" max="23" width="32.140625" style="809" bestFit="1" customWidth="1"/>
    <col min="24" max="32" width="9.140625" style="809"/>
    <col min="33" max="37" width="10.5703125" style="809" bestFit="1" customWidth="1"/>
    <col min="38" max="44" width="9.140625" style="809"/>
    <col min="45" max="45" width="9.42578125" style="809" bestFit="1" customWidth="1"/>
    <col min="46" max="53" width="9.140625" style="809"/>
    <col min="54" max="54" width="33.140625" style="809" bestFit="1" customWidth="1"/>
    <col min="55" max="16384" width="9.140625" style="809"/>
  </cols>
  <sheetData>
    <row r="1" spans="1:69" ht="39.75">
      <c r="A1" s="2481" t="s">
        <v>612</v>
      </c>
      <c r="B1" s="2482"/>
      <c r="C1" s="2482"/>
      <c r="D1" s="2482"/>
      <c r="E1" s="2482"/>
      <c r="F1" s="2482"/>
      <c r="G1" s="2482"/>
      <c r="H1" s="2482"/>
      <c r="I1" s="2482"/>
      <c r="J1" s="2482"/>
      <c r="K1" s="2482"/>
      <c r="L1" s="2482"/>
      <c r="M1" s="2483"/>
      <c r="O1" s="949">
        <v>4</v>
      </c>
      <c r="P1" s="948">
        <v>6</v>
      </c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69" ht="30.75" customHeight="1">
      <c r="A2" s="2179" t="s">
        <v>718</v>
      </c>
      <c r="B2" s="2180"/>
      <c r="C2" s="1608"/>
      <c r="D2" s="1608"/>
      <c r="E2" s="1608"/>
      <c r="F2" s="1608"/>
      <c r="G2" s="1608"/>
      <c r="H2" s="1609" t="s">
        <v>615</v>
      </c>
      <c r="I2" s="1610">
        <f>'NO DELETE'!Y53</f>
        <v>10</v>
      </c>
      <c r="J2" s="1609" t="s">
        <v>108</v>
      </c>
      <c r="K2" s="1611" t="str">
        <f>'NO DELETE'!U34</f>
        <v>พฤศจิกายน</v>
      </c>
      <c r="L2" s="1609" t="s">
        <v>616</v>
      </c>
      <c r="M2" s="1612">
        <f>'NO DELETE'!X10</f>
        <v>2558</v>
      </c>
      <c r="O2" s="2474" t="s">
        <v>614</v>
      </c>
      <c r="P2" s="2474"/>
      <c r="Q2" s="2200" t="s">
        <v>528</v>
      </c>
      <c r="R2" s="2200" t="s">
        <v>58</v>
      </c>
      <c r="S2" s="2200" t="s">
        <v>124</v>
      </c>
      <c r="T2" s="2200" t="s">
        <v>125</v>
      </c>
      <c r="U2" s="2200" t="s">
        <v>126</v>
      </c>
      <c r="V2" s="2461" t="s">
        <v>611</v>
      </c>
      <c r="W2" s="2462"/>
      <c r="X2" s="353"/>
      <c r="Y2" s="353"/>
      <c r="Z2" s="353"/>
      <c r="AA2" s="353"/>
      <c r="AB2" s="353"/>
      <c r="AC2" s="353"/>
      <c r="AD2" s="353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69" s="742" customFormat="1" ht="27" customHeight="1">
      <c r="A3" s="2181" t="s">
        <v>403</v>
      </c>
      <c r="B3" s="2182"/>
      <c r="C3" s="1613" t="str">
        <f>'NO DELETE'!AF10&amp;" "&amp;'NO DELETE'!AB34</f>
        <v xml:space="preserve">บำรุงพิเศษ ซ่อมสร้างผิวทาง Asphaltic Concrete </v>
      </c>
      <c r="D3" s="1613"/>
      <c r="E3" s="1614"/>
      <c r="F3" s="1615"/>
      <c r="G3" s="1613"/>
      <c r="H3" s="1613"/>
      <c r="I3" s="1613"/>
      <c r="J3" s="1613"/>
      <c r="K3" s="1613"/>
      <c r="L3" s="1613"/>
      <c r="M3" s="1616"/>
      <c r="N3" s="811"/>
      <c r="O3" s="2257">
        <v>1</v>
      </c>
      <c r="P3" s="2258" t="s">
        <v>1266</v>
      </c>
      <c r="Q3" s="1629">
        <v>320</v>
      </c>
      <c r="R3" s="1629">
        <v>340</v>
      </c>
      <c r="S3" s="1629">
        <v>400</v>
      </c>
      <c r="T3" s="1629">
        <v>400</v>
      </c>
      <c r="U3" s="1629">
        <v>400</v>
      </c>
      <c r="V3" s="861" t="s">
        <v>1479</v>
      </c>
      <c r="W3" s="2251"/>
      <c r="X3" s="153"/>
      <c r="Y3" s="1213"/>
      <c r="Z3" s="353"/>
      <c r="AA3" s="353"/>
      <c r="AB3" s="353"/>
      <c r="AC3" s="353"/>
      <c r="AD3" s="35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69" s="742" customFormat="1" ht="27" customHeight="1">
      <c r="A4" s="2181" t="s">
        <v>379</v>
      </c>
      <c r="B4" s="2182"/>
      <c r="C4" s="2231" t="str">
        <f>+VLOOKUP('NO DELETE'!$AA$66,'NO DELETE'!AA60:AB65,2)</f>
        <v>แขวงทางหลวงชนบทสงขลา</v>
      </c>
      <c r="D4" s="2231"/>
      <c r="E4" s="2232"/>
      <c r="F4" s="2488" t="s">
        <v>634</v>
      </c>
      <c r="G4" s="2489"/>
      <c r="H4" s="1617">
        <f>+VLOOKUP('NO DELETE'!P7,'NO DELETE'!O2:P6,2)</f>
        <v>1</v>
      </c>
      <c r="I4" s="1615"/>
      <c r="J4" s="1618"/>
      <c r="K4" s="2189" t="s">
        <v>375</v>
      </c>
      <c r="L4" s="1619">
        <f>'NO DELETE'!X9</f>
        <v>2559</v>
      </c>
      <c r="M4" s="1620"/>
      <c r="O4" s="2257">
        <v>2</v>
      </c>
      <c r="P4" s="2258" t="s">
        <v>1266</v>
      </c>
      <c r="Q4" s="1629">
        <v>370</v>
      </c>
      <c r="R4" s="1629">
        <v>470</v>
      </c>
      <c r="S4" s="1629">
        <v>480</v>
      </c>
      <c r="T4" s="1629">
        <v>410</v>
      </c>
      <c r="U4" s="1629">
        <v>470</v>
      </c>
      <c r="V4" s="2252" t="s">
        <v>1274</v>
      </c>
      <c r="W4" s="1627"/>
      <c r="X4" s="153"/>
      <c r="Y4" s="1213"/>
      <c r="Z4" s="353"/>
      <c r="AA4" s="353"/>
      <c r="AB4" s="353"/>
      <c r="AC4" s="353"/>
      <c r="AD4" s="353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69" s="742" customFormat="1" ht="27" customHeight="1">
      <c r="A5" s="2181" t="str">
        <f>+"สายทาง       "</f>
        <v xml:space="preserve">สายทาง       </v>
      </c>
      <c r="B5" s="2182"/>
      <c r="C5" s="1621" t="str">
        <f>+VLOOKUP('NO DELETE'!P10,โครงข่าย!A7:B65,2)</f>
        <v>ปน.4031</v>
      </c>
      <c r="D5" s="1615"/>
      <c r="E5" s="2185" t="s">
        <v>362</v>
      </c>
      <c r="F5" s="2234" t="str">
        <f>+VLOOKUP('NO DELETE'!P10,โครงข่าย!A7:C65,3)</f>
        <v>แยกทางหลวงหมายเลข 4157-บ้านปาตา</v>
      </c>
      <c r="G5" s="2231"/>
      <c r="H5" s="2231"/>
      <c r="I5" s="2235"/>
      <c r="J5" s="2236"/>
      <c r="K5" s="1622"/>
      <c r="L5" s="1615"/>
      <c r="M5" s="1620"/>
      <c r="N5" s="181"/>
      <c r="O5" s="2257">
        <v>3</v>
      </c>
      <c r="P5" s="2258" t="s">
        <v>1267</v>
      </c>
      <c r="Q5" s="1629">
        <v>299</v>
      </c>
      <c r="R5" s="1629">
        <v>300</v>
      </c>
      <c r="S5" s="1629">
        <v>340</v>
      </c>
      <c r="T5" s="1629">
        <v>450</v>
      </c>
      <c r="U5" s="1629">
        <v>300</v>
      </c>
      <c r="V5" s="2252" t="s">
        <v>1271</v>
      </c>
      <c r="W5" s="1627"/>
      <c r="X5" s="353"/>
      <c r="Y5" s="353"/>
      <c r="Z5" s="353"/>
      <c r="AA5" s="353"/>
      <c r="AB5" s="353"/>
      <c r="AC5" s="353"/>
      <c r="AD5" s="353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69" s="742" customFormat="1" ht="27" customHeight="1">
      <c r="A6" s="2181" t="s">
        <v>45</v>
      </c>
      <c r="B6" s="2182"/>
      <c r="C6" s="2231" t="str">
        <f>+"อำเภอ  "&amp;VLOOKUP('NO DELETE'!P10,โครงข่าย!A7:E65,5)&amp;" จังหวัด "&amp;VLOOKUP('NO DELETE'!P10,โครงข่าย!A7:F65,6)</f>
        <v>อำเภอ  ปะนาเระ,ยะหริ่ง จังหวัด ปัตตานี</v>
      </c>
      <c r="D6" s="2231"/>
      <c r="E6" s="2233"/>
      <c r="F6" s="2468" t="s">
        <v>208</v>
      </c>
      <c r="G6" s="2470"/>
      <c r="H6" s="2237">
        <f>+VLOOKUP('NO DELETE'!P10,โครงข่าย!A7:H65,7)</f>
        <v>12.965999999999999</v>
      </c>
      <c r="I6" s="2186" t="s">
        <v>40</v>
      </c>
      <c r="J6" s="2187"/>
      <c r="K6" s="2188" t="s">
        <v>209</v>
      </c>
      <c r="L6" s="2238">
        <f>ปร.5_Roads!E10</f>
        <v>1.5229999999999999</v>
      </c>
      <c r="M6" s="2190" t="s">
        <v>40</v>
      </c>
      <c r="N6" s="181"/>
      <c r="O6" s="2257">
        <v>4</v>
      </c>
      <c r="P6" s="2258" t="s">
        <v>1268</v>
      </c>
      <c r="Q6" s="1629">
        <f>+Q7</f>
        <v>373.83</v>
      </c>
      <c r="R6" s="1629">
        <f t="shared" ref="R6:U6" si="0">+R7</f>
        <v>476.64</v>
      </c>
      <c r="S6" s="1629">
        <f t="shared" si="0"/>
        <v>500</v>
      </c>
      <c r="T6" s="1629">
        <f t="shared" si="0"/>
        <v>500</v>
      </c>
      <c r="U6" s="1629">
        <f t="shared" si="0"/>
        <v>476.64</v>
      </c>
      <c r="V6" s="2252" t="s">
        <v>1272</v>
      </c>
      <c r="W6" s="1627"/>
      <c r="X6" s="353"/>
      <c r="Y6" s="353"/>
      <c r="Z6" s="353"/>
      <c r="AA6" s="353"/>
      <c r="AB6" s="353"/>
      <c r="AC6" s="353"/>
      <c r="AD6" s="353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69" s="742" customFormat="1" ht="27" customHeight="1">
      <c r="A7" s="2183" t="s">
        <v>67</v>
      </c>
      <c r="B7" s="2184"/>
      <c r="C7" s="1623">
        <f>+VLOOKUP('NO DELETE'!S14,'NO DELETE'!S2:T13,2)</f>
        <v>23.5</v>
      </c>
      <c r="D7" s="1624"/>
      <c r="E7" s="1995"/>
      <c r="F7" s="1625"/>
      <c r="G7" s="1625"/>
      <c r="H7" s="1626"/>
      <c r="I7" s="1625"/>
      <c r="J7" s="1625"/>
      <c r="K7" s="1625"/>
      <c r="L7" s="1625"/>
      <c r="M7" s="1627"/>
      <c r="N7" s="813"/>
      <c r="O7" s="2257">
        <v>5</v>
      </c>
      <c r="P7" s="2258" t="s">
        <v>1269</v>
      </c>
      <c r="Q7" s="1629">
        <v>373.83</v>
      </c>
      <c r="R7" s="1629">
        <v>476.64</v>
      </c>
      <c r="S7" s="1629">
        <v>500</v>
      </c>
      <c r="T7" s="1629">
        <v>500</v>
      </c>
      <c r="U7" s="1629">
        <v>476.64</v>
      </c>
      <c r="V7" s="2252" t="s">
        <v>1272</v>
      </c>
      <c r="W7" s="1627"/>
      <c r="X7" s="353"/>
      <c r="Y7" s="353"/>
      <c r="Z7" s="353"/>
      <c r="AA7" s="353"/>
      <c r="AB7" s="353"/>
      <c r="AC7" s="353"/>
      <c r="AD7" s="353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69" ht="30.75">
      <c r="A8" s="1457" t="s">
        <v>630</v>
      </c>
      <c r="B8" s="1454"/>
      <c r="C8" s="1454"/>
      <c r="E8" s="815"/>
      <c r="F8" s="815"/>
      <c r="M8" s="816"/>
      <c r="N8" s="742"/>
      <c r="O8" s="2257">
        <v>6</v>
      </c>
      <c r="P8" s="2258" t="s">
        <v>1270</v>
      </c>
      <c r="Q8" s="1629">
        <v>450</v>
      </c>
      <c r="R8" s="1629">
        <v>500</v>
      </c>
      <c r="S8" s="1455">
        <v>500</v>
      </c>
      <c r="T8" s="1629">
        <v>570</v>
      </c>
      <c r="U8" s="1629">
        <v>580</v>
      </c>
      <c r="V8" s="2252" t="s">
        <v>1273</v>
      </c>
      <c r="W8" s="2253"/>
      <c r="X8" s="353"/>
      <c r="Y8" s="353"/>
      <c r="Z8" s="353"/>
      <c r="AA8" s="353"/>
      <c r="AB8" s="353"/>
      <c r="AC8" s="353"/>
      <c r="AD8" s="353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69" ht="55.5">
      <c r="A9" s="2191" t="s">
        <v>0</v>
      </c>
      <c r="B9" s="2484" t="s">
        <v>611</v>
      </c>
      <c r="C9" s="2485"/>
      <c r="D9" s="2486"/>
      <c r="E9" s="2192" t="s">
        <v>614</v>
      </c>
      <c r="F9" s="2193" t="s">
        <v>234</v>
      </c>
      <c r="G9" s="2192" t="s">
        <v>23</v>
      </c>
      <c r="H9" s="2194" t="s">
        <v>4</v>
      </c>
      <c r="I9" s="2484" t="s">
        <v>601</v>
      </c>
      <c r="J9" s="2485"/>
      <c r="K9" s="2486"/>
      <c r="L9" s="2484" t="s">
        <v>613</v>
      </c>
      <c r="M9" s="2486"/>
      <c r="N9" s="742"/>
      <c r="O9" s="1878">
        <v>7</v>
      </c>
      <c r="P9" s="1879" t="s">
        <v>1484</v>
      </c>
      <c r="Q9" s="1455">
        <v>290</v>
      </c>
      <c r="R9" s="1455">
        <v>260</v>
      </c>
      <c r="S9" s="1455">
        <v>370</v>
      </c>
      <c r="T9" s="1456">
        <v>350</v>
      </c>
      <c r="U9" s="1455">
        <v>360</v>
      </c>
      <c r="V9" s="2252" t="s">
        <v>1485</v>
      </c>
      <c r="W9" s="2253"/>
      <c r="X9" s="353"/>
      <c r="Y9" s="353"/>
      <c r="Z9" s="2474" t="s">
        <v>614</v>
      </c>
      <c r="AA9" s="2474"/>
      <c r="AB9" s="2200" t="s">
        <v>1293</v>
      </c>
      <c r="AC9" s="2200" t="s">
        <v>7</v>
      </c>
      <c r="AD9" s="2200" t="s">
        <v>392</v>
      </c>
      <c r="AE9" s="2204" t="s">
        <v>585</v>
      </c>
      <c r="AF9" s="2204" t="s">
        <v>394</v>
      </c>
      <c r="AG9" s="2204" t="s">
        <v>1612</v>
      </c>
      <c r="AH9" s="2204" t="s">
        <v>1613</v>
      </c>
      <c r="AI9" s="2204" t="s">
        <v>1614</v>
      </c>
      <c r="AJ9" s="2204" t="s">
        <v>1615</v>
      </c>
      <c r="AK9" s="2204" t="s">
        <v>1616</v>
      </c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69" ht="27" customHeight="1">
      <c r="A10" s="817">
        <v>1</v>
      </c>
      <c r="B10" s="1875" t="str">
        <f>+VLOOKUP($O$1,$O$3:$V$9,8)</f>
        <v>บ.เนียง อ.เมือง จ.ยะลา</v>
      </c>
      <c r="C10" s="1876"/>
      <c r="D10" s="1877"/>
      <c r="E10" s="818" t="s">
        <v>528</v>
      </c>
      <c r="F10" s="950">
        <f>+VLOOKUP($O$1,$O$3:$V$9,3)</f>
        <v>373.83</v>
      </c>
      <c r="G10" s="819" t="s">
        <v>3</v>
      </c>
      <c r="H10" s="2230">
        <v>78</v>
      </c>
      <c r="I10" s="819" t="s">
        <v>5</v>
      </c>
      <c r="J10" s="820">
        <f>IF(แหล่งวัสดุ!L$23=1,IF(H10&lt;=200,VLOOKUP(H10,'S2'!B$5:'S2'!F$204,3),IF(H10&gt;200,(H10-200)*'S2'!D$205+'S2'!D$204)),IF(แหล่งวัสดุ!L$23=2,IF(H10&lt;=200,VLOOKUP(H10,'S2'!B$5:'S2'!F$204,5),IF(H10&gt;200,(H10-200)*'S2'!F$205+'S2'!F$204))))</f>
        <v>151.05000000000001</v>
      </c>
      <c r="K10" s="821" t="s">
        <v>529</v>
      </c>
      <c r="L10" s="822">
        <f>+J10+F10</f>
        <v>524.88</v>
      </c>
      <c r="M10" s="823" t="s">
        <v>3</v>
      </c>
      <c r="O10"/>
      <c r="P10"/>
      <c r="Q10"/>
      <c r="R10"/>
      <c r="S10"/>
      <c r="T10"/>
      <c r="U10"/>
      <c r="V10"/>
      <c r="W10"/>
      <c r="Z10" s="2257">
        <v>1</v>
      </c>
      <c r="AA10" s="2258" t="s">
        <v>1266</v>
      </c>
      <c r="AB10" s="950">
        <v>18</v>
      </c>
      <c r="AC10" s="950">
        <v>25</v>
      </c>
      <c r="AD10" s="1455">
        <v>150</v>
      </c>
      <c r="AE10" s="1629">
        <v>485</v>
      </c>
      <c r="AF10" s="1455">
        <v>400</v>
      </c>
      <c r="AG10" s="1630">
        <v>771.03</v>
      </c>
      <c r="AH10" s="1630">
        <v>1214.95</v>
      </c>
      <c r="AI10" s="1630">
        <v>1869.16</v>
      </c>
      <c r="AJ10" s="1630">
        <v>2827.1</v>
      </c>
      <c r="AK10" s="1631">
        <v>3995.33</v>
      </c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69">
      <c r="A11" s="824">
        <f>1+A10</f>
        <v>2</v>
      </c>
      <c r="B11" s="825" t="str">
        <f>+B10</f>
        <v>บ.เนียง อ.เมือง จ.ยะลา</v>
      </c>
      <c r="C11" s="826"/>
      <c r="D11" s="827"/>
      <c r="E11" s="828" t="s">
        <v>58</v>
      </c>
      <c r="F11" s="951">
        <f>+VLOOKUP($O$1,$O$3:$V$9,4)</f>
        <v>476.64</v>
      </c>
      <c r="G11" s="829" t="s">
        <v>3</v>
      </c>
      <c r="H11" s="953">
        <f>+H10</f>
        <v>78</v>
      </c>
      <c r="I11" s="829" t="s">
        <v>5</v>
      </c>
      <c r="J11" s="830">
        <f>IF(แหล่งวัสดุ!L$23=1,IF(H11&lt;=200,VLOOKUP(H11,'S2'!B$5:'S2'!F$204,3),IF(H11&gt;200,(H11-200)*'S2'!D$205+'S2'!D$204)),IF(แหล่งวัสดุ!L$23=2,IF(H11&lt;=200,VLOOKUP(H11,'S2'!B$5:'S2'!F$204,5),IF(H11&gt;200,(H11-200)*'S2'!F$205+'S2'!F$204))))</f>
        <v>151.05000000000001</v>
      </c>
      <c r="K11" s="831" t="s">
        <v>529</v>
      </c>
      <c r="L11" s="832">
        <f>+J11+F11</f>
        <v>627.69000000000005</v>
      </c>
      <c r="M11" s="833" t="s">
        <v>3</v>
      </c>
      <c r="O11"/>
      <c r="P11"/>
      <c r="Q11"/>
      <c r="R11"/>
      <c r="S11"/>
      <c r="T11"/>
      <c r="U11"/>
      <c r="V11"/>
      <c r="W11"/>
      <c r="Z11" s="2257">
        <v>2</v>
      </c>
      <c r="AA11" s="2258" t="s">
        <v>1267</v>
      </c>
      <c r="AB11" s="1629">
        <v>25</v>
      </c>
      <c r="AC11" s="1629">
        <v>35</v>
      </c>
      <c r="AD11" s="1455">
        <v>150</v>
      </c>
      <c r="AE11" s="1629">
        <v>485</v>
      </c>
      <c r="AF11" s="1629">
        <v>400</v>
      </c>
      <c r="AG11" s="1630">
        <v>870</v>
      </c>
      <c r="AH11" s="1630">
        <v>1300</v>
      </c>
      <c r="AI11" s="1630">
        <v>2100</v>
      </c>
      <c r="AJ11" s="1630">
        <v>2900</v>
      </c>
      <c r="AK11" s="1631">
        <v>4400</v>
      </c>
    </row>
    <row r="12" spans="1:69">
      <c r="A12" s="824">
        <f t="shared" ref="A12:A72" si="1">1+A11</f>
        <v>3</v>
      </c>
      <c r="B12" s="825" t="str">
        <f>+B11</f>
        <v>บ.เนียง อ.เมือง จ.ยะลา</v>
      </c>
      <c r="C12" s="826"/>
      <c r="D12" s="827"/>
      <c r="E12" s="828" t="s">
        <v>124</v>
      </c>
      <c r="F12" s="951">
        <f>+VLOOKUP($O$1,$O$3:$V$9,5)</f>
        <v>500</v>
      </c>
      <c r="G12" s="829" t="s">
        <v>3</v>
      </c>
      <c r="H12" s="953">
        <f>+H11</f>
        <v>78</v>
      </c>
      <c r="I12" s="829" t="s">
        <v>5</v>
      </c>
      <c r="J12" s="830">
        <f>IF(แหล่งวัสดุ!L$23=1,IF(H12&lt;=200,VLOOKUP(H12,'S2'!B$5:'S2'!F$204,3),IF(H12&gt;200,(H12-200)*'S2'!D$205+'S2'!D$204)),IF(แหล่งวัสดุ!L$23=2,IF(H12&lt;=200,VLOOKUP(H12,'S2'!B$5:'S2'!F$204,5),IF(H12&gt;200,(H12-200)*'S2'!F$205+'S2'!F$204))))</f>
        <v>151.05000000000001</v>
      </c>
      <c r="K12" s="831" t="s">
        <v>529</v>
      </c>
      <c r="L12" s="832">
        <f>+J12+F12</f>
        <v>651.04999999999995</v>
      </c>
      <c r="M12" s="833" t="s">
        <v>3</v>
      </c>
      <c r="Z12" s="2257">
        <v>3</v>
      </c>
      <c r="AA12" s="2258" t="s">
        <v>1268</v>
      </c>
      <c r="AB12" s="1629" t="s">
        <v>2035</v>
      </c>
      <c r="AC12" s="1629" t="s">
        <v>2036</v>
      </c>
      <c r="AD12" s="1455"/>
      <c r="AE12" s="1629">
        <v>467</v>
      </c>
      <c r="AF12" s="1629">
        <v>620</v>
      </c>
      <c r="AG12" s="1630">
        <v>800</v>
      </c>
      <c r="AH12" s="1630">
        <v>1720</v>
      </c>
      <c r="AI12" s="1630">
        <v>2360</v>
      </c>
      <c r="AJ12" s="1630">
        <v>3400</v>
      </c>
      <c r="AK12" s="2256">
        <v>4400</v>
      </c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>
      <c r="A13" s="824">
        <f t="shared" si="1"/>
        <v>4</v>
      </c>
      <c r="B13" s="825" t="str">
        <f>+B12</f>
        <v>บ.เนียง อ.เมือง จ.ยะลา</v>
      </c>
      <c r="C13" s="826"/>
      <c r="D13" s="827"/>
      <c r="E13" s="828" t="s">
        <v>125</v>
      </c>
      <c r="F13" s="951">
        <f>+VLOOKUP($O$1,$O$3:$V$9,6)</f>
        <v>500</v>
      </c>
      <c r="G13" s="829" t="s">
        <v>3</v>
      </c>
      <c r="H13" s="953">
        <f>+H12</f>
        <v>78</v>
      </c>
      <c r="I13" s="829" t="s">
        <v>5</v>
      </c>
      <c r="J13" s="830">
        <f>IF(แหล่งวัสดุ!L$23=1,IF(H13&lt;=200,VLOOKUP(H13,'S2'!B$5:'S2'!F$204,3),IF(H13&gt;200,(H13-200)*'S2'!D$205+'S2'!D$204)),IF(แหล่งวัสดุ!L$23=2,IF(H13&lt;=200,VLOOKUP(H13,'S2'!B$5:'S2'!F$204,5),IF(H13&gt;200,(H13-200)*'S2'!F$205+'S2'!F$204))))</f>
        <v>151.05000000000001</v>
      </c>
      <c r="K13" s="831" t="s">
        <v>529</v>
      </c>
      <c r="L13" s="832">
        <f>+J13+F13</f>
        <v>651.04999999999995</v>
      </c>
      <c r="M13" s="833" t="s">
        <v>3</v>
      </c>
      <c r="R13" s="1229"/>
      <c r="S13" s="1229"/>
      <c r="T13" s="1177"/>
      <c r="U13" s="352"/>
      <c r="V13" s="352"/>
      <c r="W13" s="352"/>
      <c r="Z13" s="2257">
        <v>4</v>
      </c>
      <c r="AA13" s="2258" t="s">
        <v>1269</v>
      </c>
      <c r="AB13" s="1629" t="s">
        <v>2037</v>
      </c>
      <c r="AC13" s="1629">
        <v>30</v>
      </c>
      <c r="AD13" s="1455">
        <v>266.36</v>
      </c>
      <c r="AE13" s="1455">
        <v>336.45</v>
      </c>
      <c r="AF13" s="1629">
        <v>500</v>
      </c>
      <c r="AG13" s="1630">
        <v>1220</v>
      </c>
      <c r="AH13" s="1630">
        <v>1850</v>
      </c>
      <c r="AI13" s="1630">
        <v>2850</v>
      </c>
      <c r="AJ13" s="1630">
        <v>4700</v>
      </c>
      <c r="AK13" s="1631">
        <v>6700</v>
      </c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s="834">
        <f t="shared" si="1"/>
        <v>5</v>
      </c>
      <c r="B14" s="835" t="str">
        <f>+B13</f>
        <v>บ.เนียง อ.เมือง จ.ยะลา</v>
      </c>
      <c r="C14" s="836"/>
      <c r="D14" s="837"/>
      <c r="E14" s="838" t="s">
        <v>126</v>
      </c>
      <c r="F14" s="952">
        <f>+VLOOKUP($O$1,$O$3:$V$9,7)</f>
        <v>476.64</v>
      </c>
      <c r="G14" s="839" t="s">
        <v>3</v>
      </c>
      <c r="H14" s="954">
        <f>+H13</f>
        <v>78</v>
      </c>
      <c r="I14" s="839" t="s">
        <v>5</v>
      </c>
      <c r="J14" s="840">
        <f>IF(แหล่งวัสดุ!L$23=1,IF(H14&lt;=200,VLOOKUP(H14,'S2'!B$5:'S2'!F$204,3),IF(H14&gt;200,(H14-200)*'S2'!D$205+'S2'!D$204)),IF(แหล่งวัสดุ!L$23=2,IF(H14&lt;=200,VLOOKUP(H14,'S2'!B$5:'S2'!F$204,5),IF(H14&gt;200,(H14-200)*'S2'!F$205+'S2'!F$204))))</f>
        <v>151.05000000000001</v>
      </c>
      <c r="K14" s="841" t="s">
        <v>529</v>
      </c>
      <c r="L14" s="842">
        <f>+J14+F14</f>
        <v>627.69000000000005</v>
      </c>
      <c r="M14" s="843" t="s">
        <v>3</v>
      </c>
      <c r="Q14" s="1231" t="s">
        <v>2043</v>
      </c>
      <c r="R14" s="1230"/>
      <c r="S14" s="1230"/>
      <c r="T14" s="1178"/>
      <c r="U14" s="352"/>
      <c r="V14" s="352"/>
      <c r="W14" s="352"/>
      <c r="Z14" s="2257">
        <v>5</v>
      </c>
      <c r="AA14" s="2258" t="s">
        <v>1270</v>
      </c>
      <c r="AB14" s="1629">
        <v>20</v>
      </c>
      <c r="AC14" s="1629">
        <v>25</v>
      </c>
      <c r="AD14" s="1629">
        <v>60</v>
      </c>
      <c r="AE14" s="1629">
        <v>140</v>
      </c>
      <c r="AF14" s="1629">
        <v>500</v>
      </c>
      <c r="AG14" s="1630">
        <v>707.48</v>
      </c>
      <c r="AH14" s="1630">
        <v>1015.89</v>
      </c>
      <c r="AI14" s="1630">
        <v>2207.48</v>
      </c>
      <c r="AJ14" s="1630">
        <v>2623.36</v>
      </c>
      <c r="AK14" s="1631">
        <v>3828.97</v>
      </c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 ht="30.75">
      <c r="A15" s="814" t="s">
        <v>629</v>
      </c>
      <c r="E15" s="844"/>
      <c r="F15" s="815"/>
      <c r="G15" s="844"/>
      <c r="H15" s="844"/>
      <c r="I15" s="844"/>
      <c r="J15" s="844"/>
      <c r="K15" s="844"/>
      <c r="L15" s="844"/>
      <c r="M15" s="844"/>
      <c r="Q15" s="2475" t="s">
        <v>645</v>
      </c>
      <c r="R15" s="2476"/>
      <c r="S15" s="2477"/>
      <c r="T15" s="2199" t="s">
        <v>23</v>
      </c>
      <c r="U15" s="2199"/>
      <c r="V15" s="2199" t="s">
        <v>1369</v>
      </c>
      <c r="W15" s="2254" t="s">
        <v>19</v>
      </c>
      <c r="X15" s="225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s="817">
        <v>6</v>
      </c>
      <c r="B16" s="1875" t="str">
        <f>+VLOOKUP($P$1,$O$3:$V$9,8)</f>
        <v>บ.กะลุวอเหนือ อ.เมือง จ.นราธิวาส</v>
      </c>
      <c r="C16" s="1876"/>
      <c r="D16" s="1877"/>
      <c r="E16" s="818" t="s">
        <v>528</v>
      </c>
      <c r="F16" s="950">
        <f>+VLOOKUP($P$1,$O$3:$V$9,3)</f>
        <v>450</v>
      </c>
      <c r="G16" s="819" t="s">
        <v>3</v>
      </c>
      <c r="H16" s="2230">
        <v>82</v>
      </c>
      <c r="I16" s="819" t="s">
        <v>5</v>
      </c>
      <c r="J16" s="820">
        <f>IF(แหล่งวัสดุ!L$23=1,IF(H16&lt;=200,VLOOKUP(H16,'S2'!B$5:'S2'!F$204,3),IF(H16&gt;200,(H16-200)*'S2'!D$205+'S2'!D$204)),IF(แหล่งวัสดุ!L$23=2,IF(H16&lt;=200,VLOOKUP(H16,'S2'!B$5:'S2'!F$204,5),IF(H16&gt;200,(H16-200)*'S2'!F$205+'S2'!F$204))))</f>
        <v>158.75</v>
      </c>
      <c r="K16" s="821" t="s">
        <v>529</v>
      </c>
      <c r="L16" s="822">
        <f>+J16+F16</f>
        <v>608.75</v>
      </c>
      <c r="M16" s="823" t="s">
        <v>3</v>
      </c>
      <c r="Q16" s="167"/>
      <c r="R16" s="1214" t="s">
        <v>1370</v>
      </c>
      <c r="S16" s="1215"/>
      <c r="T16" s="155"/>
      <c r="U16" s="189"/>
      <c r="V16" s="155"/>
      <c r="W16" s="158"/>
      <c r="X16" s="159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s="824">
        <f>1+A16</f>
        <v>7</v>
      </c>
      <c r="B17" s="825" t="str">
        <f>+B16</f>
        <v>บ.กะลุวอเหนือ อ.เมือง จ.นราธิวาส</v>
      </c>
      <c r="C17" s="845"/>
      <c r="D17" s="846"/>
      <c r="E17" s="828" t="s">
        <v>58</v>
      </c>
      <c r="F17" s="951">
        <f>+VLOOKUP($P$1,$O$3:$V$9,4)</f>
        <v>500</v>
      </c>
      <c r="G17" s="829" t="s">
        <v>3</v>
      </c>
      <c r="H17" s="953">
        <f>+H16</f>
        <v>82</v>
      </c>
      <c r="I17" s="829" t="s">
        <v>5</v>
      </c>
      <c r="J17" s="830">
        <f>IF(แหล่งวัสดุ!L$23=1,IF(H17&lt;=200,VLOOKUP(H17,'S2'!B$5:'S2'!F$204,3),IF(H17&gt;200,(H17-200)*'S2'!D$205+'S2'!D$204)),IF(แหล่งวัสดุ!L$23=2,IF(H17&lt;=200,VLOOKUP(H17,'S2'!B$5:'S2'!F$204,5),IF(H17&gt;200,(H17-200)*'S2'!F$205+'S2'!F$204))))</f>
        <v>158.75</v>
      </c>
      <c r="K17" s="831" t="s">
        <v>529</v>
      </c>
      <c r="L17" s="832">
        <f>+J17+F17</f>
        <v>658.75</v>
      </c>
      <c r="M17" s="833" t="s">
        <v>3</v>
      </c>
      <c r="Q17" s="160">
        <v>1</v>
      </c>
      <c r="R17" s="156" t="s">
        <v>717</v>
      </c>
      <c r="S17" s="1216"/>
      <c r="T17" s="160" t="s">
        <v>32</v>
      </c>
      <c r="U17" s="178"/>
      <c r="V17" s="160">
        <v>398</v>
      </c>
      <c r="W17" s="156" t="s">
        <v>1371</v>
      </c>
      <c r="X17" s="164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s="824">
        <f t="shared" si="1"/>
        <v>8</v>
      </c>
      <c r="B18" s="825" t="str">
        <f>+B17</f>
        <v>บ.กะลุวอเหนือ อ.เมือง จ.นราธิวาส</v>
      </c>
      <c r="C18" s="845"/>
      <c r="D18" s="846"/>
      <c r="E18" s="828" t="s">
        <v>124</v>
      </c>
      <c r="F18" s="951">
        <f>+VLOOKUP($P$1,$O$3:$V$9,5)</f>
        <v>500</v>
      </c>
      <c r="G18" s="829" t="s">
        <v>3</v>
      </c>
      <c r="H18" s="953">
        <f>H17</f>
        <v>82</v>
      </c>
      <c r="I18" s="829" t="s">
        <v>5</v>
      </c>
      <c r="J18" s="830">
        <f>IF(แหล่งวัสดุ!L$23=1,IF(H18&lt;=200,VLOOKUP(H18,'S2'!B$5:'S2'!F$204,3),IF(H18&gt;200,(H18-200)*'S2'!D$205+'S2'!D$204)),IF(แหล่งวัสดุ!L$23=2,IF(H18&lt;=200,VLOOKUP(H18,'S2'!B$5:'S2'!F$204,5),IF(H18&gt;200,(H18-200)*'S2'!F$205+'S2'!F$204))))</f>
        <v>158.75</v>
      </c>
      <c r="K18" s="831" t="s">
        <v>529</v>
      </c>
      <c r="L18" s="832">
        <f>+J18+F18</f>
        <v>658.75</v>
      </c>
      <c r="M18" s="833" t="s">
        <v>3</v>
      </c>
      <c r="Q18" s="160">
        <v>2</v>
      </c>
      <c r="R18" s="156" t="s">
        <v>1372</v>
      </c>
      <c r="S18" s="1216"/>
      <c r="T18" s="160" t="s">
        <v>32</v>
      </c>
      <c r="U18" s="178">
        <v>1</v>
      </c>
      <c r="V18" s="160">
        <v>436</v>
      </c>
      <c r="W18" s="156" t="s">
        <v>1373</v>
      </c>
      <c r="X18" s="164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s="824">
        <f t="shared" si="1"/>
        <v>9</v>
      </c>
      <c r="B19" s="825" t="str">
        <f>+B18</f>
        <v>บ.กะลุวอเหนือ อ.เมือง จ.นราธิวาส</v>
      </c>
      <c r="C19" s="845"/>
      <c r="D19" s="846"/>
      <c r="E19" s="828" t="s">
        <v>125</v>
      </c>
      <c r="F19" s="951">
        <f>+VLOOKUP($P$1,$O$3:$V$9,6)</f>
        <v>570</v>
      </c>
      <c r="G19" s="829" t="s">
        <v>3</v>
      </c>
      <c r="H19" s="953">
        <f>+H18</f>
        <v>82</v>
      </c>
      <c r="I19" s="829" t="s">
        <v>5</v>
      </c>
      <c r="J19" s="830">
        <f>IF(แหล่งวัสดุ!L$23=1,IF(H19&lt;=200,VLOOKUP(H19,'S2'!B$5:'S2'!F$204,3),IF(H19&gt;200,(H19-200)*'S2'!D$205+'S2'!D$204)),IF(แหล่งวัสดุ!L$23=2,IF(H19&lt;=200,VLOOKUP(H19,'S2'!B$5:'S2'!F$204,5),IF(H19&gt;200,(H19-200)*'S2'!F$205+'S2'!F$204))))</f>
        <v>158.75</v>
      </c>
      <c r="K19" s="831" t="s">
        <v>529</v>
      </c>
      <c r="L19" s="832">
        <f>+J19+F19</f>
        <v>728.75</v>
      </c>
      <c r="M19" s="833" t="s">
        <v>3</v>
      </c>
      <c r="Q19" s="160">
        <v>3</v>
      </c>
      <c r="R19" s="156"/>
      <c r="S19" s="1216"/>
      <c r="T19" s="160" t="s">
        <v>32</v>
      </c>
      <c r="U19" s="178">
        <v>2</v>
      </c>
      <c r="V19" s="160">
        <v>498</v>
      </c>
      <c r="W19" s="156" t="s">
        <v>1374</v>
      </c>
      <c r="X19" s="164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s="834">
        <f t="shared" si="1"/>
        <v>10</v>
      </c>
      <c r="B20" s="835" t="str">
        <f>+B19</f>
        <v>บ.กะลุวอเหนือ อ.เมือง จ.นราธิวาส</v>
      </c>
      <c r="C20" s="847"/>
      <c r="D20" s="848"/>
      <c r="E20" s="838" t="s">
        <v>126</v>
      </c>
      <c r="F20" s="952">
        <f>+VLOOKUP($P$1,$O$3:$V$9,7)</f>
        <v>580</v>
      </c>
      <c r="G20" s="839" t="s">
        <v>3</v>
      </c>
      <c r="H20" s="954">
        <f>+H19</f>
        <v>82</v>
      </c>
      <c r="I20" s="839" t="s">
        <v>5</v>
      </c>
      <c r="J20" s="840">
        <f>IF(แหล่งวัสดุ!L$23=1,IF(H20&lt;=200,VLOOKUP(H20,'S2'!B$5:'S2'!F$204,3),IF(H20&gt;200,(H20-200)*'S2'!D$205+'S2'!D$204)),IF(แหล่งวัสดุ!L$23=2,IF(H20&lt;=200,VLOOKUP(H20,'S2'!B$5:'S2'!F$204,5),IF(H20&gt;200,(H20-200)*'S2'!F$205+'S2'!F$204))))</f>
        <v>158.75</v>
      </c>
      <c r="K20" s="841" t="s">
        <v>529</v>
      </c>
      <c r="L20" s="842">
        <f>+J20+F20</f>
        <v>738.75</v>
      </c>
      <c r="M20" s="843" t="s">
        <v>3</v>
      </c>
      <c r="Q20" s="1217">
        <v>4</v>
      </c>
      <c r="R20" s="206"/>
      <c r="S20" s="1218"/>
      <c r="T20" s="1217" t="s">
        <v>32</v>
      </c>
      <c r="U20" s="1219">
        <v>3</v>
      </c>
      <c r="V20" s="1217">
        <v>542</v>
      </c>
      <c r="W20" s="206" t="s">
        <v>1375</v>
      </c>
      <c r="X20" s="207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s="353"/>
      <c r="B21" s="353"/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3"/>
      <c r="Q21" s="160">
        <v>2</v>
      </c>
      <c r="R21" s="156" t="s">
        <v>1400</v>
      </c>
      <c r="S21" s="1216"/>
      <c r="T21" s="160" t="s">
        <v>32</v>
      </c>
      <c r="U21" s="178">
        <v>1</v>
      </c>
      <c r="V21" s="160">
        <v>306</v>
      </c>
      <c r="W21" s="156" t="s">
        <v>1373</v>
      </c>
      <c r="X21" s="164"/>
    </row>
    <row r="22" spans="1:69" ht="55.5">
      <c r="A22" s="2191" t="s">
        <v>0</v>
      </c>
      <c r="B22" s="2484" t="s">
        <v>611</v>
      </c>
      <c r="C22" s="2485"/>
      <c r="D22" s="2486"/>
      <c r="E22" s="2192" t="s">
        <v>614</v>
      </c>
      <c r="F22" s="2194" t="s">
        <v>234</v>
      </c>
      <c r="G22" s="2192" t="s">
        <v>23</v>
      </c>
      <c r="H22" s="2194" t="s">
        <v>4</v>
      </c>
      <c r="I22" s="353"/>
      <c r="J22" s="2195" t="s">
        <v>1894</v>
      </c>
      <c r="K22" s="2196"/>
      <c r="L22" s="2197"/>
      <c r="M22" s="2198"/>
      <c r="N22" s="742"/>
      <c r="Q22" s="160">
        <v>3</v>
      </c>
      <c r="R22" s="156"/>
      <c r="S22" s="1216"/>
      <c r="T22" s="160" t="s">
        <v>32</v>
      </c>
      <c r="U22" s="178">
        <v>2</v>
      </c>
      <c r="V22" s="160">
        <v>391</v>
      </c>
      <c r="W22" s="156" t="s">
        <v>1374</v>
      </c>
      <c r="X22" s="164"/>
    </row>
    <row r="23" spans="1:69">
      <c r="A23" s="849">
        <v>11</v>
      </c>
      <c r="B23" s="2228" t="s">
        <v>1274</v>
      </c>
      <c r="C23" s="2220"/>
      <c r="D23" s="2221"/>
      <c r="E23" s="1232" t="s">
        <v>394</v>
      </c>
      <c r="F23" s="2229">
        <v>400</v>
      </c>
      <c r="G23" s="850" t="s">
        <v>3</v>
      </c>
      <c r="H23" s="2239">
        <v>40</v>
      </c>
      <c r="I23" s="810"/>
      <c r="J23" s="742" t="s">
        <v>61</v>
      </c>
      <c r="L23" s="2242">
        <v>2</v>
      </c>
      <c r="M23" s="851" t="s">
        <v>631</v>
      </c>
      <c r="N23" s="856"/>
      <c r="O23" s="851"/>
      <c r="P23" s="851"/>
      <c r="Q23" s="1217">
        <v>4</v>
      </c>
      <c r="R23" s="206"/>
      <c r="S23" s="1218"/>
      <c r="T23" s="1217" t="s">
        <v>32</v>
      </c>
      <c r="U23" s="1219">
        <v>3</v>
      </c>
      <c r="V23" s="1217">
        <v>485</v>
      </c>
      <c r="W23" s="206" t="s">
        <v>1375</v>
      </c>
      <c r="X23" s="207"/>
    </row>
    <row r="24" spans="1:69">
      <c r="A24" s="1013">
        <v>12</v>
      </c>
      <c r="B24" s="2222" t="s">
        <v>1274</v>
      </c>
      <c r="C24" s="2223"/>
      <c r="D24" s="2224"/>
      <c r="E24" s="1014" t="s">
        <v>703</v>
      </c>
      <c r="F24" s="2229">
        <v>476.64</v>
      </c>
      <c r="G24" s="855" t="s">
        <v>3</v>
      </c>
      <c r="H24" s="2239">
        <v>150</v>
      </c>
      <c r="I24" s="810"/>
      <c r="J24" s="742" t="s">
        <v>63</v>
      </c>
      <c r="L24" s="2242">
        <v>2</v>
      </c>
      <c r="M24" s="851" t="s">
        <v>632</v>
      </c>
      <c r="N24" s="856"/>
      <c r="O24" s="851"/>
      <c r="P24" s="851"/>
      <c r="Q24" s="155"/>
      <c r="R24" s="1220" t="s">
        <v>1376</v>
      </c>
      <c r="S24" s="353"/>
      <c r="T24" s="1221"/>
      <c r="U24" s="1221"/>
      <c r="V24" s="1221"/>
      <c r="W24" s="158"/>
      <c r="X24" s="1179"/>
    </row>
    <row r="25" spans="1:69">
      <c r="A25" s="853">
        <f>1+A23</f>
        <v>12</v>
      </c>
      <c r="B25" s="2222" t="s">
        <v>2012</v>
      </c>
      <c r="C25" s="2223"/>
      <c r="D25" s="2224"/>
      <c r="E25" s="854" t="s">
        <v>172</v>
      </c>
      <c r="F25" s="2229">
        <v>25</v>
      </c>
      <c r="G25" s="855" t="s">
        <v>3</v>
      </c>
      <c r="H25" s="2239">
        <v>6</v>
      </c>
      <c r="I25" s="810"/>
      <c r="J25" s="742" t="s">
        <v>129</v>
      </c>
      <c r="L25" s="2242">
        <v>7</v>
      </c>
      <c r="M25" s="742" t="s">
        <v>60</v>
      </c>
      <c r="N25" s="742" t="s">
        <v>130</v>
      </c>
      <c r="P25" s="852"/>
      <c r="Q25" s="160">
        <v>1</v>
      </c>
      <c r="R25" s="156" t="s">
        <v>1377</v>
      </c>
      <c r="S25" s="1216"/>
      <c r="T25" s="1222" t="s">
        <v>31</v>
      </c>
      <c r="U25" s="1222">
        <v>1</v>
      </c>
      <c r="V25" s="1222">
        <v>115</v>
      </c>
      <c r="W25" s="156" t="s">
        <v>1378</v>
      </c>
      <c r="X25" s="1180"/>
    </row>
    <row r="26" spans="1:69">
      <c r="A26" s="853">
        <f t="shared" si="1"/>
        <v>13</v>
      </c>
      <c r="B26" s="2222" t="s">
        <v>2012</v>
      </c>
      <c r="C26" s="2223"/>
      <c r="D26" s="2224"/>
      <c r="E26" s="854" t="s">
        <v>7</v>
      </c>
      <c r="F26" s="2229">
        <v>35</v>
      </c>
      <c r="G26" s="855" t="s">
        <v>3</v>
      </c>
      <c r="H26" s="2239">
        <v>19</v>
      </c>
      <c r="I26" s="810"/>
      <c r="J26" s="742" t="s">
        <v>62</v>
      </c>
      <c r="L26" s="2242">
        <v>15</v>
      </c>
      <c r="M26" s="742" t="s">
        <v>60</v>
      </c>
      <c r="P26" s="852"/>
      <c r="Q26" s="160"/>
      <c r="R26" s="156"/>
      <c r="S26" s="1216"/>
      <c r="T26" s="1222" t="s">
        <v>31</v>
      </c>
      <c r="U26" s="1222">
        <v>2</v>
      </c>
      <c r="V26" s="1222">
        <v>133</v>
      </c>
      <c r="W26" s="156" t="s">
        <v>1379</v>
      </c>
      <c r="X26" s="1180"/>
    </row>
    <row r="27" spans="1:69">
      <c r="A27" s="853">
        <f t="shared" si="1"/>
        <v>14</v>
      </c>
      <c r="B27" s="2222" t="s">
        <v>2012</v>
      </c>
      <c r="C27" s="2223"/>
      <c r="D27" s="2224"/>
      <c r="E27" s="742" t="s">
        <v>145</v>
      </c>
      <c r="F27" s="2229">
        <v>35</v>
      </c>
      <c r="G27" s="855" t="s">
        <v>3</v>
      </c>
      <c r="H27" s="2239"/>
      <c r="I27" s="810"/>
      <c r="J27" s="742" t="s">
        <v>64</v>
      </c>
      <c r="L27" s="2242">
        <v>4</v>
      </c>
      <c r="M27" s="742" t="s">
        <v>60</v>
      </c>
      <c r="N27" s="2487" t="s">
        <v>641</v>
      </c>
      <c r="O27" s="2487"/>
      <c r="P27" s="742"/>
      <c r="Q27" s="160">
        <v>2</v>
      </c>
      <c r="R27" s="156" t="s">
        <v>1380</v>
      </c>
      <c r="S27" s="1216"/>
      <c r="T27" s="1222" t="s">
        <v>31</v>
      </c>
      <c r="U27" s="1222">
        <v>1</v>
      </c>
      <c r="V27" s="1222">
        <v>154</v>
      </c>
      <c r="W27" s="156" t="s">
        <v>1381</v>
      </c>
      <c r="X27" s="1180"/>
    </row>
    <row r="28" spans="1:69">
      <c r="A28" s="853">
        <f t="shared" si="1"/>
        <v>15</v>
      </c>
      <c r="B28" s="2222" t="s">
        <v>2012</v>
      </c>
      <c r="C28" s="2223"/>
      <c r="D28" s="2224"/>
      <c r="E28" s="854" t="s">
        <v>585</v>
      </c>
      <c r="F28" s="1012">
        <v>485</v>
      </c>
      <c r="G28" s="855" t="s">
        <v>3</v>
      </c>
      <c r="H28" s="2239">
        <v>73</v>
      </c>
      <c r="I28" s="810"/>
      <c r="J28" s="742" t="s">
        <v>65</v>
      </c>
      <c r="L28" s="2242">
        <v>0</v>
      </c>
      <c r="M28" s="742" t="s">
        <v>60</v>
      </c>
      <c r="N28" s="2487"/>
      <c r="O28" s="2487"/>
      <c r="P28" s="851"/>
      <c r="Q28" s="160"/>
      <c r="R28" s="156"/>
      <c r="S28" s="1216"/>
      <c r="T28" s="1222" t="s">
        <v>31</v>
      </c>
      <c r="U28" s="1222">
        <v>2</v>
      </c>
      <c r="V28" s="1222">
        <v>193</v>
      </c>
      <c r="W28" s="156" t="s">
        <v>1382</v>
      </c>
      <c r="X28" s="1180"/>
    </row>
    <row r="29" spans="1:69">
      <c r="A29" s="853">
        <f t="shared" si="1"/>
        <v>16</v>
      </c>
      <c r="B29" s="2222" t="s">
        <v>2012</v>
      </c>
      <c r="C29" s="2223"/>
      <c r="D29" s="2224"/>
      <c r="E29" s="854" t="s">
        <v>587</v>
      </c>
      <c r="F29" s="1012">
        <v>150</v>
      </c>
      <c r="G29" s="855" t="s">
        <v>3</v>
      </c>
      <c r="H29" s="866">
        <f>+H28</f>
        <v>73</v>
      </c>
      <c r="I29" s="810"/>
      <c r="J29" s="742" t="s">
        <v>66</v>
      </c>
      <c r="L29" s="2242">
        <v>7</v>
      </c>
      <c r="M29" s="742" t="s">
        <v>60</v>
      </c>
      <c r="N29" s="860">
        <v>124</v>
      </c>
      <c r="O29" s="861">
        <f>IF(แหล่งวัสดุ!L$24=1,IF(N29&lt;=200,VLOOKUP(N29,'S2'!B$5:'S2'!F$204,2),IF(N29&gt;200,(N29-200)*'S2'!C$205+'S2'!C$204)),IF(แหล่งวัสดุ!L$24=2,IF(N29&lt;=200,VLOOKUP(N29,'S2'!B$5:'S2'!F$204,4),IF(N29&gt;200,(N29-200)*'S2'!E$205+'S2'!E$204))))</f>
        <v>171.17</v>
      </c>
      <c r="P29" s="742"/>
      <c r="Q29" s="160">
        <v>3</v>
      </c>
      <c r="R29" s="156" t="s">
        <v>1383</v>
      </c>
      <c r="S29" s="1216"/>
      <c r="T29" s="1222" t="s">
        <v>31</v>
      </c>
      <c r="U29" s="1222">
        <v>1</v>
      </c>
      <c r="V29" s="1222">
        <v>154</v>
      </c>
      <c r="W29" s="156" t="s">
        <v>1384</v>
      </c>
      <c r="X29" s="1180"/>
    </row>
    <row r="30" spans="1:69">
      <c r="A30" s="853">
        <f t="shared" si="1"/>
        <v>17</v>
      </c>
      <c r="B30" s="2225" t="s">
        <v>2083</v>
      </c>
      <c r="C30" s="2226"/>
      <c r="D30" s="2227"/>
      <c r="E30" s="854" t="s">
        <v>583</v>
      </c>
      <c r="F30" s="2240">
        <v>3003.11</v>
      </c>
      <c r="G30" s="855" t="s">
        <v>8</v>
      </c>
      <c r="H30" s="2239">
        <v>65</v>
      </c>
      <c r="I30" s="810"/>
      <c r="J30" s="862" t="s">
        <v>584</v>
      </c>
      <c r="L30" s="2243">
        <v>2</v>
      </c>
      <c r="P30" s="742"/>
      <c r="Q30" s="188"/>
      <c r="R30" s="206"/>
      <c r="S30" s="1218"/>
      <c r="T30" s="1223" t="s">
        <v>31</v>
      </c>
      <c r="U30" s="1223">
        <v>2</v>
      </c>
      <c r="V30" s="1223">
        <v>180</v>
      </c>
      <c r="W30" s="206" t="s">
        <v>1385</v>
      </c>
      <c r="X30" s="1181"/>
    </row>
    <row r="31" spans="1:69">
      <c r="A31" s="853">
        <f t="shared" si="1"/>
        <v>18</v>
      </c>
      <c r="B31" s="1233" t="str">
        <f>+B30</f>
        <v>สำนักดัชนีการค้า ปัตตานี (ตุลาคม 58)</v>
      </c>
      <c r="C31" s="1234"/>
      <c r="D31" s="1235"/>
      <c r="E31" s="1236" t="s">
        <v>1813</v>
      </c>
      <c r="F31" s="2240"/>
      <c r="G31" s="855" t="s">
        <v>3</v>
      </c>
      <c r="H31" s="866">
        <f>+H30</f>
        <v>65</v>
      </c>
      <c r="I31" s="810"/>
      <c r="J31" s="862" t="s">
        <v>1743</v>
      </c>
      <c r="L31" s="2243">
        <v>1</v>
      </c>
      <c r="M31" s="851" t="s">
        <v>631</v>
      </c>
      <c r="P31" s="742"/>
      <c r="Q31" s="196"/>
      <c r="R31" s="1224" t="s">
        <v>2034</v>
      </c>
      <c r="S31" s="1225"/>
      <c r="T31" s="1221"/>
      <c r="U31" s="1221"/>
      <c r="V31" s="1221"/>
      <c r="W31" s="158"/>
      <c r="X31" s="1179"/>
    </row>
    <row r="32" spans="1:69">
      <c r="A32" s="853">
        <f t="shared" si="1"/>
        <v>19</v>
      </c>
      <c r="B32" s="2478" t="s">
        <v>2084</v>
      </c>
      <c r="C32" s="2479"/>
      <c r="D32" s="2480"/>
      <c r="E32" s="1924" t="str">
        <f>+'NO DELETE'!AR44</f>
        <v>PARA  Asphaltic  Concrete</v>
      </c>
      <c r="F32" s="2263">
        <v>38465</v>
      </c>
      <c r="G32" s="855" t="s">
        <v>8</v>
      </c>
      <c r="H32" s="2241">
        <v>1075</v>
      </c>
      <c r="I32" s="810"/>
      <c r="J32" s="862" t="s">
        <v>586</v>
      </c>
      <c r="K32" s="353"/>
      <c r="L32" s="2243">
        <v>1</v>
      </c>
      <c r="M32" s="851" t="s">
        <v>632</v>
      </c>
      <c r="P32" s="742"/>
      <c r="Q32" s="160">
        <v>1</v>
      </c>
      <c r="R32" s="156" t="s">
        <v>2038</v>
      </c>
      <c r="S32" s="1216"/>
      <c r="T32" s="1222" t="s">
        <v>87</v>
      </c>
      <c r="U32" s="1222">
        <v>1</v>
      </c>
      <c r="V32" s="1226">
        <v>4100</v>
      </c>
      <c r="W32" s="156" t="s">
        <v>2039</v>
      </c>
      <c r="X32" s="1182"/>
    </row>
    <row r="33" spans="1:24">
      <c r="A33" s="853">
        <f t="shared" si="1"/>
        <v>20</v>
      </c>
      <c r="B33" s="2225" t="str">
        <f>+B32</f>
        <v>สำนักดัชนีการค้า กรุงเทพฯ(ตุลาคม58)</v>
      </c>
      <c r="C33" s="2226"/>
      <c r="D33" s="2227"/>
      <c r="E33" s="854" t="s">
        <v>121</v>
      </c>
      <c r="F33" s="2244">
        <v>22686.67</v>
      </c>
      <c r="G33" s="855" t="s">
        <v>8</v>
      </c>
      <c r="H33" s="2245">
        <f>+H32</f>
        <v>1075</v>
      </c>
      <c r="I33" s="810"/>
      <c r="J33" s="862" t="s">
        <v>588</v>
      </c>
      <c r="K33" s="353"/>
      <c r="L33" s="2243">
        <v>1</v>
      </c>
      <c r="M33" s="353"/>
      <c r="N33" s="742"/>
      <c r="O33" s="742"/>
      <c r="P33" s="742"/>
      <c r="Q33" s="160">
        <v>2</v>
      </c>
      <c r="R33" s="167" t="s">
        <v>1386</v>
      </c>
      <c r="S33" s="2260"/>
      <c r="T33" s="160" t="s">
        <v>87</v>
      </c>
      <c r="U33" s="178">
        <v>2</v>
      </c>
      <c r="V33" s="2262">
        <v>3300</v>
      </c>
      <c r="W33" s="156" t="s">
        <v>2040</v>
      </c>
      <c r="X33" s="1180"/>
    </row>
    <row r="34" spans="1:24">
      <c r="A34" s="853">
        <f t="shared" si="1"/>
        <v>21</v>
      </c>
      <c r="B34" s="825" t="str">
        <f>+B33</f>
        <v>สำนักดัชนีการค้า กรุงเทพฯ(ตุลาคม58)</v>
      </c>
      <c r="C34" s="845"/>
      <c r="D34" s="846"/>
      <c r="E34" s="854" t="s">
        <v>122</v>
      </c>
      <c r="F34" s="2244">
        <v>25743.33</v>
      </c>
      <c r="G34" s="855" t="s">
        <v>8</v>
      </c>
      <c r="H34" s="863">
        <f>+H33</f>
        <v>1075</v>
      </c>
      <c r="I34" s="810"/>
      <c r="J34" s="862" t="s">
        <v>589</v>
      </c>
      <c r="K34" s="353"/>
      <c r="L34" s="2243">
        <v>1</v>
      </c>
      <c r="M34" s="353"/>
      <c r="Q34" s="160">
        <v>3</v>
      </c>
      <c r="R34" s="167" t="s">
        <v>1386</v>
      </c>
      <c r="T34" s="2259"/>
      <c r="U34" s="178">
        <v>3</v>
      </c>
      <c r="V34" s="2262">
        <v>2900</v>
      </c>
      <c r="W34" s="156" t="s">
        <v>2041</v>
      </c>
      <c r="X34" s="2261"/>
    </row>
    <row r="35" spans="1:24">
      <c r="A35" s="853">
        <f t="shared" si="1"/>
        <v>22</v>
      </c>
      <c r="B35" s="825" t="str">
        <f>+B34</f>
        <v>สำนักดัชนีการค้า กรุงเทพฯ(ตุลาคม58)</v>
      </c>
      <c r="C35" s="845"/>
      <c r="D35" s="846"/>
      <c r="E35" s="854" t="s">
        <v>123</v>
      </c>
      <c r="F35" s="2244">
        <v>21906.67</v>
      </c>
      <c r="G35" s="855" t="s">
        <v>8</v>
      </c>
      <c r="H35" s="863">
        <f>+H34</f>
        <v>1075</v>
      </c>
      <c r="I35" s="810"/>
      <c r="J35" s="862" t="s">
        <v>1406</v>
      </c>
      <c r="K35" s="171"/>
      <c r="L35" s="2243">
        <v>1</v>
      </c>
      <c r="M35" s="353"/>
      <c r="Q35" s="1217">
        <v>4</v>
      </c>
      <c r="R35" s="188" t="s">
        <v>1387</v>
      </c>
      <c r="S35" s="1227"/>
      <c r="T35" s="1223" t="s">
        <v>31</v>
      </c>
      <c r="U35" s="1223"/>
      <c r="V35" s="1228">
        <v>5</v>
      </c>
      <c r="W35" s="206"/>
      <c r="X35" s="1181"/>
    </row>
    <row r="36" spans="1:24">
      <c r="A36" s="853">
        <f t="shared" si="1"/>
        <v>23</v>
      </c>
      <c r="B36" s="2225" t="s">
        <v>637</v>
      </c>
      <c r="C36" s="2246"/>
      <c r="D36" s="2247"/>
      <c r="E36" s="854" t="s">
        <v>121</v>
      </c>
      <c r="F36" s="864">
        <f>+F33-$O$29</f>
        <v>22515.5</v>
      </c>
      <c r="G36" s="855" t="s">
        <v>8</v>
      </c>
      <c r="H36" s="2245">
        <v>1180</v>
      </c>
      <c r="I36" s="810"/>
      <c r="J36" s="742" t="s">
        <v>1811</v>
      </c>
      <c r="L36" s="2243">
        <v>1</v>
      </c>
      <c r="M36" s="171"/>
    </row>
    <row r="37" spans="1:24" ht="48">
      <c r="A37" s="853">
        <f t="shared" si="1"/>
        <v>24</v>
      </c>
      <c r="B37" s="825" t="str">
        <f>+B36</f>
        <v>อ.ศรีราชา จ.ชลบุรี</v>
      </c>
      <c r="C37" s="845"/>
      <c r="D37" s="846"/>
      <c r="E37" s="854" t="s">
        <v>122</v>
      </c>
      <c r="F37" s="864">
        <f>+F34-$O$29</f>
        <v>25572.160000000003</v>
      </c>
      <c r="G37" s="855" t="s">
        <v>8</v>
      </c>
      <c r="H37" s="863">
        <f>+H36</f>
        <v>1180</v>
      </c>
      <c r="I37" s="810"/>
      <c r="J37" s="2204" t="s">
        <v>213</v>
      </c>
      <c r="K37" s="2465" t="s">
        <v>445</v>
      </c>
      <c r="L37" s="2467"/>
      <c r="M37" s="2200" t="s">
        <v>246</v>
      </c>
      <c r="N37" s="2465" t="s">
        <v>259</v>
      </c>
      <c r="O37" s="2466"/>
      <c r="P37" s="2467"/>
      <c r="S37"/>
      <c r="T37"/>
      <c r="U37"/>
      <c r="V37"/>
      <c r="W37"/>
    </row>
    <row r="38" spans="1:24">
      <c r="A38" s="853">
        <f t="shared" si="1"/>
        <v>25</v>
      </c>
      <c r="B38" s="825" t="str">
        <f>+B37</f>
        <v>อ.ศรีราชา จ.ชลบุรี</v>
      </c>
      <c r="C38" s="845"/>
      <c r="D38" s="846"/>
      <c r="E38" s="854" t="s">
        <v>123</v>
      </c>
      <c r="F38" s="864">
        <f>+F35-$O$29</f>
        <v>21735.5</v>
      </c>
      <c r="G38" s="855" t="s">
        <v>8</v>
      </c>
      <c r="H38" s="863">
        <f>+H37</f>
        <v>1180</v>
      </c>
      <c r="I38" s="810"/>
      <c r="J38" s="2200" t="s">
        <v>214</v>
      </c>
      <c r="K38" s="2465" t="s">
        <v>446</v>
      </c>
      <c r="L38" s="2467"/>
      <c r="M38" s="2200" t="s">
        <v>246</v>
      </c>
      <c r="N38" s="2465" t="s">
        <v>447</v>
      </c>
      <c r="O38" s="2466"/>
      <c r="P38" s="2467"/>
      <c r="S38"/>
      <c r="T38"/>
      <c r="U38"/>
      <c r="V38"/>
      <c r="W38"/>
    </row>
    <row r="39" spans="1:24">
      <c r="A39" s="853">
        <f t="shared" si="1"/>
        <v>26</v>
      </c>
      <c r="B39" s="2248" t="s">
        <v>2042</v>
      </c>
      <c r="C39" s="2249"/>
      <c r="D39" s="2250"/>
      <c r="E39" s="865" t="s">
        <v>590</v>
      </c>
      <c r="F39" s="2264">
        <v>19898.169999999998</v>
      </c>
      <c r="G39" s="855" t="s">
        <v>8</v>
      </c>
      <c r="H39" s="2269">
        <f>+H31</f>
        <v>65</v>
      </c>
      <c r="I39" s="810"/>
      <c r="J39" s="2200" t="s">
        <v>212</v>
      </c>
      <c r="K39" s="2465" t="s">
        <v>1289</v>
      </c>
      <c r="L39" s="2467"/>
      <c r="M39" s="2200" t="s">
        <v>246</v>
      </c>
      <c r="N39" s="2465" t="s">
        <v>447</v>
      </c>
      <c r="O39" s="2466"/>
      <c r="P39" s="2467"/>
      <c r="S39"/>
      <c r="T39"/>
      <c r="U39"/>
      <c r="V39"/>
      <c r="W39"/>
    </row>
    <row r="40" spans="1:24">
      <c r="A40" s="853">
        <f t="shared" si="1"/>
        <v>27</v>
      </c>
      <c r="B40" s="857" t="str">
        <f>+B39</f>
        <v>สำนักดัชนีการค้า สตูล(กันยายน 58)</v>
      </c>
      <c r="C40" s="858"/>
      <c r="D40" s="859"/>
      <c r="E40" s="865" t="s">
        <v>591</v>
      </c>
      <c r="F40" s="2264">
        <v>19220.78</v>
      </c>
      <c r="G40" s="855" t="s">
        <v>8</v>
      </c>
      <c r="H40" s="866">
        <f>+H39</f>
        <v>65</v>
      </c>
      <c r="I40" s="810"/>
      <c r="N40" s="867"/>
      <c r="O40" s="742"/>
      <c r="P40" s="742"/>
      <c r="S40"/>
      <c r="T40"/>
      <c r="U40"/>
      <c r="V40"/>
      <c r="W40"/>
    </row>
    <row r="41" spans="1:24">
      <c r="A41" s="853">
        <f t="shared" si="1"/>
        <v>28</v>
      </c>
      <c r="B41" s="857" t="str">
        <f t="shared" ref="B41:B42" si="2">+B40</f>
        <v>สำนักดัชนีการค้า สตูล(กันยายน 58)</v>
      </c>
      <c r="C41" s="858"/>
      <c r="D41" s="859"/>
      <c r="E41" s="865" t="s">
        <v>2124</v>
      </c>
      <c r="F41" s="2264">
        <v>19521.96</v>
      </c>
      <c r="G41" s="855" t="s">
        <v>8</v>
      </c>
      <c r="H41" s="866">
        <f t="shared" ref="H41:H42" si="3">+H40</f>
        <v>65</v>
      </c>
      <c r="I41" s="810"/>
      <c r="N41" s="867"/>
      <c r="O41" s="742"/>
      <c r="P41" s="742"/>
      <c r="S41"/>
      <c r="T41"/>
      <c r="U41"/>
      <c r="V41"/>
      <c r="W41"/>
    </row>
    <row r="42" spans="1:24">
      <c r="A42" s="853">
        <f t="shared" si="1"/>
        <v>29</v>
      </c>
      <c r="B42" s="857" t="str">
        <f t="shared" si="2"/>
        <v>สำนักดัชนีการค้า สตูล(กันยายน 58)</v>
      </c>
      <c r="C42" s="858"/>
      <c r="D42" s="859"/>
      <c r="E42" s="865" t="s">
        <v>2125</v>
      </c>
      <c r="F42" s="2264">
        <v>18668.22</v>
      </c>
      <c r="G42" s="855" t="s">
        <v>8</v>
      </c>
      <c r="H42" s="866">
        <f t="shared" si="3"/>
        <v>65</v>
      </c>
      <c r="I42" s="810"/>
      <c r="N42" s="867"/>
      <c r="O42" s="742"/>
      <c r="P42" s="742"/>
      <c r="S42"/>
      <c r="T42"/>
      <c r="U42"/>
      <c r="V42"/>
      <c r="W42"/>
    </row>
    <row r="43" spans="1:24">
      <c r="A43" s="853">
        <f t="shared" si="1"/>
        <v>30</v>
      </c>
      <c r="B43" s="857" t="str">
        <f>+B40</f>
        <v>สำนักดัชนีการค้า สตูล(กันยายน 58)</v>
      </c>
      <c r="C43" s="858"/>
      <c r="D43" s="859"/>
      <c r="E43" s="865" t="s">
        <v>592</v>
      </c>
      <c r="F43" s="2264"/>
      <c r="G43" s="855" t="s">
        <v>8</v>
      </c>
      <c r="H43" s="866">
        <f>+H40</f>
        <v>65</v>
      </c>
      <c r="I43" s="810"/>
      <c r="J43" s="2204" t="s">
        <v>1366</v>
      </c>
      <c r="K43" s="2465" t="s">
        <v>446</v>
      </c>
      <c r="L43" s="2467"/>
      <c r="M43" s="2200" t="s">
        <v>246</v>
      </c>
      <c r="N43" s="2465" t="s">
        <v>447</v>
      </c>
      <c r="O43" s="2466"/>
      <c r="P43" s="2467"/>
      <c r="S43"/>
      <c r="T43"/>
      <c r="U43"/>
      <c r="V43"/>
      <c r="W43"/>
    </row>
    <row r="44" spans="1:24">
      <c r="A44" s="853">
        <f t="shared" si="1"/>
        <v>31</v>
      </c>
      <c r="B44" s="857" t="str">
        <f>+B43</f>
        <v>สำนักดัชนีการค้า สตูล(กันยายน 58)</v>
      </c>
      <c r="C44" s="858"/>
      <c r="D44" s="859"/>
      <c r="E44" s="865" t="s">
        <v>593</v>
      </c>
      <c r="F44" s="2264">
        <v>19042.060000000001</v>
      </c>
      <c r="G44" s="855" t="s">
        <v>8</v>
      </c>
      <c r="H44" s="866">
        <f t="shared" ref="H44:H49" si="4">+H43</f>
        <v>65</v>
      </c>
      <c r="I44" s="810"/>
      <c r="J44" s="2200" t="s">
        <v>1367</v>
      </c>
      <c r="K44" s="2465" t="s">
        <v>445</v>
      </c>
      <c r="L44" s="2467"/>
      <c r="M44" s="2200" t="s">
        <v>246</v>
      </c>
      <c r="N44" s="2465" t="s">
        <v>259</v>
      </c>
      <c r="O44" s="2466"/>
      <c r="P44" s="2467"/>
      <c r="Q44" s="742"/>
      <c r="R44" s="742"/>
      <c r="S44"/>
      <c r="T44"/>
      <c r="U44"/>
      <c r="V44"/>
      <c r="W44"/>
    </row>
    <row r="45" spans="1:24">
      <c r="A45" s="853">
        <f t="shared" si="1"/>
        <v>32</v>
      </c>
      <c r="B45" s="857" t="str">
        <f t="shared" ref="B45:B59" si="5">+B44</f>
        <v>สำนักดัชนีการค้า สตูล(กันยายน 58)</v>
      </c>
      <c r="C45" s="858"/>
      <c r="D45" s="859"/>
      <c r="E45" s="865" t="s">
        <v>594</v>
      </c>
      <c r="F45" s="2264">
        <v>19415.55</v>
      </c>
      <c r="G45" s="855" t="s">
        <v>8</v>
      </c>
      <c r="H45" s="866">
        <f t="shared" si="4"/>
        <v>65</v>
      </c>
      <c r="I45" s="810"/>
      <c r="J45" s="2200" t="s">
        <v>1367</v>
      </c>
      <c r="K45" s="2465" t="s">
        <v>1368</v>
      </c>
      <c r="L45" s="2467"/>
      <c r="M45" s="2200" t="s">
        <v>246</v>
      </c>
      <c r="N45" s="2465" t="s">
        <v>259</v>
      </c>
      <c r="O45" s="2466"/>
      <c r="P45" s="2467"/>
      <c r="Q45" s="742"/>
      <c r="R45" s="742"/>
      <c r="S45"/>
      <c r="T45"/>
      <c r="U45"/>
      <c r="V45"/>
      <c r="W45"/>
    </row>
    <row r="46" spans="1:24">
      <c r="A46" s="853">
        <f t="shared" si="1"/>
        <v>33</v>
      </c>
      <c r="B46" s="857" t="str">
        <f t="shared" si="5"/>
        <v>สำนักดัชนีการค้า สตูล(กันยายน 58)</v>
      </c>
      <c r="C46" s="858"/>
      <c r="D46" s="859"/>
      <c r="E46" s="865" t="s">
        <v>595</v>
      </c>
      <c r="F46" s="2264">
        <v>18272.759999999998</v>
      </c>
      <c r="G46" s="855" t="s">
        <v>8</v>
      </c>
      <c r="H46" s="866">
        <f t="shared" si="4"/>
        <v>65</v>
      </c>
      <c r="I46" s="810"/>
      <c r="Q46" s="812"/>
      <c r="R46" s="742"/>
    </row>
    <row r="47" spans="1:24">
      <c r="A47" s="853">
        <f t="shared" si="1"/>
        <v>34</v>
      </c>
      <c r="B47" s="857" t="str">
        <f t="shared" si="5"/>
        <v>สำนักดัชนีการค้า สตูล(กันยายน 58)</v>
      </c>
      <c r="C47" s="858"/>
      <c r="D47" s="859"/>
      <c r="E47" s="865" t="s">
        <v>596</v>
      </c>
      <c r="F47" s="2264"/>
      <c r="G47" s="855" t="s">
        <v>8</v>
      </c>
      <c r="H47" s="866">
        <f t="shared" si="4"/>
        <v>65</v>
      </c>
      <c r="I47" s="810"/>
      <c r="J47" s="2015" t="s">
        <v>1926</v>
      </c>
      <c r="P47" s="2015" t="s">
        <v>1930</v>
      </c>
    </row>
    <row r="48" spans="1:24">
      <c r="A48" s="853">
        <f t="shared" si="1"/>
        <v>35</v>
      </c>
      <c r="B48" s="857" t="str">
        <f t="shared" si="5"/>
        <v>สำนักดัชนีการค้า สตูล(กันยายน 58)</v>
      </c>
      <c r="C48" s="858"/>
      <c r="D48" s="859"/>
      <c r="E48" s="865" t="s">
        <v>597</v>
      </c>
      <c r="F48" s="2264"/>
      <c r="G48" s="855" t="s">
        <v>8</v>
      </c>
      <c r="H48" s="866">
        <f>+H47</f>
        <v>65</v>
      </c>
      <c r="I48" s="810"/>
      <c r="L48" s="2191" t="s">
        <v>21</v>
      </c>
      <c r="M48" s="2191" t="s">
        <v>111</v>
      </c>
      <c r="S48" s="2191" t="s">
        <v>21</v>
      </c>
      <c r="T48" s="2191" t="s">
        <v>111</v>
      </c>
    </row>
    <row r="49" spans="1:21">
      <c r="A49" s="853">
        <f t="shared" si="1"/>
        <v>36</v>
      </c>
      <c r="B49" s="857" t="str">
        <f t="shared" si="5"/>
        <v>สำนักดัชนีการค้า สตูล(กันยายน 58)</v>
      </c>
      <c r="C49" s="858"/>
      <c r="D49" s="859"/>
      <c r="E49" s="865" t="s">
        <v>598</v>
      </c>
      <c r="F49" s="2264"/>
      <c r="G49" s="855" t="s">
        <v>8</v>
      </c>
      <c r="H49" s="866">
        <f t="shared" si="4"/>
        <v>65</v>
      </c>
      <c r="I49" s="810"/>
      <c r="J49" s="2186" t="s">
        <v>1921</v>
      </c>
      <c r="K49" s="2201"/>
      <c r="L49" s="2295">
        <v>80</v>
      </c>
      <c r="M49" s="2005">
        <v>1</v>
      </c>
      <c r="N49" s="2003">
        <f>+M49*L49</f>
        <v>80</v>
      </c>
      <c r="P49" s="2468" t="s">
        <v>1921</v>
      </c>
      <c r="Q49" s="2469"/>
      <c r="R49" s="2470"/>
      <c r="S49" s="2295">
        <v>80</v>
      </c>
      <c r="T49" s="2005">
        <v>1</v>
      </c>
      <c r="U49" s="2003">
        <f>+T49*S49</f>
        <v>80</v>
      </c>
    </row>
    <row r="50" spans="1:21">
      <c r="A50" s="853">
        <f t="shared" si="1"/>
        <v>37</v>
      </c>
      <c r="B50" s="857" t="str">
        <f t="shared" si="5"/>
        <v>สำนักดัชนีการค้า สตูล(กันยายน 58)</v>
      </c>
      <c r="C50" s="858"/>
      <c r="D50" s="859"/>
      <c r="E50" s="865" t="s">
        <v>599</v>
      </c>
      <c r="F50" s="2264"/>
      <c r="G50" s="855" t="s">
        <v>8</v>
      </c>
      <c r="H50" s="866">
        <f t="shared" ref="H50:H59" si="6">+H49</f>
        <v>65</v>
      </c>
      <c r="I50" s="810"/>
      <c r="J50" s="2202" t="s">
        <v>1922</v>
      </c>
      <c r="K50" s="2203"/>
      <c r="L50" s="2295"/>
      <c r="M50" s="2005">
        <v>2.12</v>
      </c>
      <c r="N50" s="2003">
        <f>+M50*L50</f>
        <v>0</v>
      </c>
      <c r="P50" s="2471" t="s">
        <v>1922</v>
      </c>
      <c r="Q50" s="2472"/>
      <c r="R50" s="2473"/>
      <c r="S50" s="2295"/>
      <c r="T50" s="2005">
        <v>2.12</v>
      </c>
      <c r="U50" s="2003">
        <f>+T50*S50</f>
        <v>0</v>
      </c>
    </row>
    <row r="51" spans="1:21">
      <c r="A51" s="853">
        <f t="shared" si="1"/>
        <v>38</v>
      </c>
      <c r="B51" s="857" t="str">
        <f t="shared" si="5"/>
        <v>สำนักดัชนีการค้า สตูล(กันยายน 58)</v>
      </c>
      <c r="C51" s="858"/>
      <c r="D51" s="859"/>
      <c r="E51" s="865" t="s">
        <v>466</v>
      </c>
      <c r="F51" s="2264">
        <v>53</v>
      </c>
      <c r="G51" s="855" t="s">
        <v>114</v>
      </c>
      <c r="H51" s="866">
        <f t="shared" si="6"/>
        <v>65</v>
      </c>
      <c r="I51" s="810"/>
      <c r="J51" s="2202" t="s">
        <v>1923</v>
      </c>
      <c r="K51" s="2203"/>
      <c r="L51" s="2295"/>
      <c r="M51" s="2005">
        <v>2.56</v>
      </c>
      <c r="N51" s="2003">
        <f>+M51*L51</f>
        <v>0</v>
      </c>
      <c r="P51" s="2468" t="s">
        <v>1923</v>
      </c>
      <c r="Q51" s="2469"/>
      <c r="R51" s="2470"/>
      <c r="S51" s="2295"/>
      <c r="T51" s="2005">
        <v>2.56</v>
      </c>
      <c r="U51" s="2003">
        <f>+T51*S51</f>
        <v>0</v>
      </c>
    </row>
    <row r="52" spans="1:21">
      <c r="A52" s="853">
        <f t="shared" si="1"/>
        <v>39</v>
      </c>
      <c r="B52" s="857" t="str">
        <f t="shared" si="5"/>
        <v>สำนักดัชนีการค้า สตูล(กันยายน 58)</v>
      </c>
      <c r="C52" s="858"/>
      <c r="D52" s="859"/>
      <c r="E52" s="854" t="s">
        <v>489</v>
      </c>
      <c r="F52" s="2265">
        <v>532.88</v>
      </c>
      <c r="G52" s="868" t="s">
        <v>490</v>
      </c>
      <c r="H52" s="866">
        <f>+H50</f>
        <v>65</v>
      </c>
      <c r="I52" s="810"/>
      <c r="J52" s="742"/>
      <c r="L52" s="2006">
        <f>SUM(L49:L51)</f>
        <v>80</v>
      </c>
      <c r="N52" s="2003">
        <f>ROUND(SUM(N49:N51),)</f>
        <v>80</v>
      </c>
      <c r="P52" s="742"/>
      <c r="S52" s="2006">
        <f>SUM(S49:S51)</f>
        <v>80</v>
      </c>
      <c r="U52" s="2003">
        <f>ROUND(SUM(U49:U51),)</f>
        <v>80</v>
      </c>
    </row>
    <row r="53" spans="1:21">
      <c r="A53" s="853">
        <f t="shared" si="1"/>
        <v>40</v>
      </c>
      <c r="B53" s="857" t="str">
        <f t="shared" si="5"/>
        <v>สำนักดัชนีการค้า สตูล(กันยายน 58)</v>
      </c>
      <c r="C53" s="858"/>
      <c r="D53" s="859"/>
      <c r="E53" s="854" t="s">
        <v>491</v>
      </c>
      <c r="F53" s="2265">
        <v>630</v>
      </c>
      <c r="G53" s="868" t="s">
        <v>492</v>
      </c>
      <c r="H53" s="866">
        <f t="shared" si="6"/>
        <v>65</v>
      </c>
      <c r="I53" s="810"/>
      <c r="J53" s="742"/>
      <c r="L53" s="2463" t="s">
        <v>1925</v>
      </c>
      <c r="M53" s="2464"/>
      <c r="N53" s="2004">
        <f>+ROUND(N52/L52,2)</f>
        <v>1</v>
      </c>
      <c r="P53" s="742"/>
      <c r="S53" s="2463" t="s">
        <v>1925</v>
      </c>
      <c r="T53" s="2464"/>
      <c r="U53" s="2004">
        <f>+ROUND(U52/S52,2)</f>
        <v>1</v>
      </c>
    </row>
    <row r="54" spans="1:21">
      <c r="A54" s="853">
        <f t="shared" si="1"/>
        <v>41</v>
      </c>
      <c r="B54" s="857" t="str">
        <f t="shared" si="5"/>
        <v>สำนักดัชนีการค้า สตูล(กันยายน 58)</v>
      </c>
      <c r="C54" s="858"/>
      <c r="D54" s="859"/>
      <c r="E54" s="869" t="s">
        <v>493</v>
      </c>
      <c r="F54" s="2266">
        <v>409.91</v>
      </c>
      <c r="G54" s="868" t="s">
        <v>490</v>
      </c>
      <c r="H54" s="866">
        <f t="shared" si="6"/>
        <v>65</v>
      </c>
      <c r="I54" s="810"/>
    </row>
    <row r="55" spans="1:21">
      <c r="A55" s="853">
        <f t="shared" si="1"/>
        <v>42</v>
      </c>
      <c r="B55" s="857" t="str">
        <f t="shared" si="5"/>
        <v>สำนักดัชนีการค้า สตูล(กันยายน 58)</v>
      </c>
      <c r="C55" s="858"/>
      <c r="D55" s="859"/>
      <c r="E55" s="869" t="s">
        <v>2044</v>
      </c>
      <c r="F55" s="2266">
        <v>225</v>
      </c>
      <c r="G55" s="868" t="s">
        <v>406</v>
      </c>
      <c r="H55" s="866">
        <f t="shared" si="6"/>
        <v>65</v>
      </c>
      <c r="I55" s="810"/>
      <c r="J55" s="2015" t="s">
        <v>1927</v>
      </c>
      <c r="P55" s="2015" t="s">
        <v>1931</v>
      </c>
    </row>
    <row r="56" spans="1:21">
      <c r="A56" s="853">
        <f t="shared" si="1"/>
        <v>43</v>
      </c>
      <c r="B56" s="857" t="str">
        <f t="shared" si="5"/>
        <v>สำนักดัชนีการค้า สตูล(กันยายน 58)</v>
      </c>
      <c r="C56" s="858"/>
      <c r="D56" s="859"/>
      <c r="E56" s="869" t="s">
        <v>2045</v>
      </c>
      <c r="F56" s="2240">
        <v>55</v>
      </c>
      <c r="G56" s="868" t="s">
        <v>406</v>
      </c>
      <c r="H56" s="866">
        <f t="shared" si="6"/>
        <v>65</v>
      </c>
      <c r="I56" s="810"/>
      <c r="L56" s="2191" t="s">
        <v>21</v>
      </c>
      <c r="M56" s="2191" t="s">
        <v>111</v>
      </c>
      <c r="S56" s="2191" t="s">
        <v>21</v>
      </c>
      <c r="T56" s="2191" t="s">
        <v>111</v>
      </c>
    </row>
    <row r="57" spans="1:21">
      <c r="A57" s="853">
        <f t="shared" si="1"/>
        <v>44</v>
      </c>
      <c r="B57" s="857" t="str">
        <f t="shared" si="5"/>
        <v>สำนักดัชนีการค้า สตูล(กันยายน 58)</v>
      </c>
      <c r="C57" s="858"/>
      <c r="D57" s="859"/>
      <c r="E57" s="854" t="s">
        <v>600</v>
      </c>
      <c r="F57" s="2240">
        <v>15</v>
      </c>
      <c r="G57" s="868" t="s">
        <v>57</v>
      </c>
      <c r="H57" s="866">
        <f t="shared" si="6"/>
        <v>65</v>
      </c>
      <c r="I57" s="810"/>
      <c r="J57" s="2186" t="s">
        <v>1921</v>
      </c>
      <c r="K57" s="2201"/>
      <c r="L57" s="2295">
        <v>80</v>
      </c>
      <c r="M57" s="2005">
        <v>1</v>
      </c>
      <c r="N57" s="2003">
        <f>+M57*L57</f>
        <v>80</v>
      </c>
      <c r="P57" s="2468" t="s">
        <v>1921</v>
      </c>
      <c r="Q57" s="2469"/>
      <c r="R57" s="2470"/>
      <c r="S57" s="2295">
        <v>80</v>
      </c>
      <c r="T57" s="2005">
        <v>1</v>
      </c>
      <c r="U57" s="2003">
        <f>+T57*S57</f>
        <v>80</v>
      </c>
    </row>
    <row r="58" spans="1:21">
      <c r="A58" s="853">
        <f t="shared" si="1"/>
        <v>45</v>
      </c>
      <c r="B58" s="857" t="str">
        <f t="shared" si="5"/>
        <v>สำนักดัชนีการค้า สตูล(กันยายน 58)</v>
      </c>
      <c r="C58" s="858"/>
      <c r="D58" s="859"/>
      <c r="E58" s="854" t="s">
        <v>265</v>
      </c>
      <c r="F58" s="2240">
        <v>46.73</v>
      </c>
      <c r="G58" s="868" t="s">
        <v>502</v>
      </c>
      <c r="H58" s="866">
        <f t="shared" si="6"/>
        <v>65</v>
      </c>
      <c r="I58" s="810"/>
      <c r="J58" s="2202" t="s">
        <v>1922</v>
      </c>
      <c r="K58" s="2203"/>
      <c r="L58" s="2295"/>
      <c r="M58" s="2005">
        <v>2.12</v>
      </c>
      <c r="N58" s="2003">
        <f>+M58*L58</f>
        <v>0</v>
      </c>
      <c r="P58" s="2471" t="s">
        <v>1922</v>
      </c>
      <c r="Q58" s="2472"/>
      <c r="R58" s="2473"/>
      <c r="S58" s="2295"/>
      <c r="T58" s="2005">
        <v>2.12</v>
      </c>
      <c r="U58" s="2003">
        <f>+T58*S58</f>
        <v>0</v>
      </c>
    </row>
    <row r="59" spans="1:21">
      <c r="A59" s="853">
        <f t="shared" si="1"/>
        <v>46</v>
      </c>
      <c r="B59" s="857" t="str">
        <f t="shared" si="5"/>
        <v>สำนักดัชนีการค้า สตูล(กันยายน 58)</v>
      </c>
      <c r="C59" s="858"/>
      <c r="D59" s="859"/>
      <c r="E59" s="854" t="s">
        <v>267</v>
      </c>
      <c r="F59" s="2267">
        <v>39.49</v>
      </c>
      <c r="G59" s="868" t="s">
        <v>502</v>
      </c>
      <c r="H59" s="866">
        <f t="shared" si="6"/>
        <v>65</v>
      </c>
      <c r="I59" s="810"/>
      <c r="J59" s="2202" t="s">
        <v>1923</v>
      </c>
      <c r="K59" s="2203"/>
      <c r="L59" s="2295"/>
      <c r="M59" s="2005">
        <v>2.56</v>
      </c>
      <c r="N59" s="2003">
        <f>+M59*L59</f>
        <v>0</v>
      </c>
      <c r="P59" s="2468" t="s">
        <v>1923</v>
      </c>
      <c r="Q59" s="2469"/>
      <c r="R59" s="2470"/>
      <c r="S59" s="2295"/>
      <c r="T59" s="2005">
        <v>2.56</v>
      </c>
      <c r="U59" s="2003">
        <f>+T59*S59</f>
        <v>0</v>
      </c>
    </row>
    <row r="60" spans="1:21">
      <c r="A60" s="853">
        <f t="shared" si="1"/>
        <v>47</v>
      </c>
      <c r="B60" s="2270" t="str">
        <f>+B59</f>
        <v>สำนักดัชนีการค้า สตูล(กันยายน 58)</v>
      </c>
      <c r="C60" s="2271"/>
      <c r="D60" s="2272"/>
      <c r="E60" s="872" t="s">
        <v>1298</v>
      </c>
      <c r="F60" s="2276">
        <f>+VLOOKUP('NO DELETE'!$P$7,$Z$10:$AK$14,8)</f>
        <v>800</v>
      </c>
      <c r="G60" s="873" t="s">
        <v>406</v>
      </c>
      <c r="H60" s="2269">
        <v>40</v>
      </c>
      <c r="I60" s="810"/>
      <c r="J60" s="742"/>
      <c r="L60" s="2006">
        <f>SUM(L57:L59)</f>
        <v>80</v>
      </c>
      <c r="N60" s="2003">
        <f>ROUND(SUM(N57:N59),)</f>
        <v>80</v>
      </c>
      <c r="P60" s="742"/>
      <c r="S60" s="2006">
        <f>SUM(S57:S59)</f>
        <v>80</v>
      </c>
      <c r="U60" s="2003">
        <f>ROUND(SUM(U57:U59),)</f>
        <v>80</v>
      </c>
    </row>
    <row r="61" spans="1:21">
      <c r="A61" s="853">
        <f t="shared" si="1"/>
        <v>48</v>
      </c>
      <c r="B61" s="874" t="str">
        <f>+B60</f>
        <v>สำนักดัชนีการค้า สตูล(กันยายน 58)</v>
      </c>
      <c r="C61" s="870"/>
      <c r="D61" s="871"/>
      <c r="E61" s="872" t="s">
        <v>1299</v>
      </c>
      <c r="F61" s="2276">
        <f>+VLOOKUP('NO DELETE'!$P$7,$Z$10:$AK$14,9)</f>
        <v>1720</v>
      </c>
      <c r="G61" s="873" t="s">
        <v>406</v>
      </c>
      <c r="H61" s="875">
        <f>+H60</f>
        <v>40</v>
      </c>
      <c r="I61" s="810"/>
      <c r="J61" s="742"/>
      <c r="L61" s="2463" t="s">
        <v>1925</v>
      </c>
      <c r="M61" s="2464"/>
      <c r="N61" s="2004">
        <f>+ROUND(N60/L60,2)</f>
        <v>1</v>
      </c>
      <c r="P61" s="742"/>
      <c r="S61" s="2463" t="s">
        <v>1925</v>
      </c>
      <c r="T61" s="2464"/>
      <c r="U61" s="2004">
        <f>+ROUND(U60/S60,2)</f>
        <v>1</v>
      </c>
    </row>
    <row r="62" spans="1:21">
      <c r="A62" s="853">
        <f t="shared" si="1"/>
        <v>49</v>
      </c>
      <c r="B62" s="874" t="str">
        <f>+B61</f>
        <v>สำนักดัชนีการค้า สตูล(กันยายน 58)</v>
      </c>
      <c r="C62" s="870"/>
      <c r="D62" s="871"/>
      <c r="E62" s="872" t="s">
        <v>1300</v>
      </c>
      <c r="F62" s="2276">
        <f>+VLOOKUP('NO DELETE'!$P$7,$Z$10:$AK$14,10)</f>
        <v>2360</v>
      </c>
      <c r="G62" s="873" t="s">
        <v>406</v>
      </c>
      <c r="H62" s="875">
        <f>+H61</f>
        <v>40</v>
      </c>
      <c r="I62" s="810"/>
      <c r="J62" s="810"/>
      <c r="K62" s="810"/>
      <c r="L62" s="810"/>
      <c r="M62" s="810"/>
    </row>
    <row r="63" spans="1:21">
      <c r="A63" s="853">
        <f t="shared" si="1"/>
        <v>50</v>
      </c>
      <c r="B63" s="874" t="str">
        <f>+B62</f>
        <v>สำนักดัชนีการค้า สตูล(กันยายน 58)</v>
      </c>
      <c r="C63" s="870"/>
      <c r="D63" s="871"/>
      <c r="E63" s="872" t="s">
        <v>1301</v>
      </c>
      <c r="F63" s="2276">
        <f>+VLOOKUP('NO DELETE'!$P$7,$Z$10:$AK$14,11)</f>
        <v>3400</v>
      </c>
      <c r="G63" s="873" t="s">
        <v>406</v>
      </c>
      <c r="H63" s="875">
        <f>+H62</f>
        <v>40</v>
      </c>
      <c r="I63" s="810"/>
      <c r="J63" s="2015" t="s">
        <v>1928</v>
      </c>
      <c r="P63" s="2015" t="s">
        <v>1932</v>
      </c>
    </row>
    <row r="64" spans="1:21">
      <c r="A64" s="853">
        <f t="shared" si="1"/>
        <v>51</v>
      </c>
      <c r="B64" s="876" t="str">
        <f>+B63</f>
        <v>สำนักดัชนีการค้า สตูล(กันยายน 58)</v>
      </c>
      <c r="C64" s="870"/>
      <c r="D64" s="870"/>
      <c r="E64" s="854" t="s">
        <v>1302</v>
      </c>
      <c r="F64" s="2276">
        <f>+VLOOKUP('NO DELETE'!$P$7,$Z$10:$AK$14,12)</f>
        <v>4400</v>
      </c>
      <c r="G64" s="873" t="s">
        <v>406</v>
      </c>
      <c r="H64" s="875">
        <f>+H63</f>
        <v>40</v>
      </c>
      <c r="I64" s="810"/>
      <c r="L64" s="2191" t="s">
        <v>21</v>
      </c>
      <c r="M64" s="2191" t="s">
        <v>111</v>
      </c>
      <c r="S64" s="2191" t="s">
        <v>21</v>
      </c>
      <c r="T64" s="2191" t="s">
        <v>111</v>
      </c>
    </row>
    <row r="65" spans="1:21">
      <c r="A65" s="853">
        <f t="shared" si="1"/>
        <v>52</v>
      </c>
      <c r="B65" s="1561" t="s">
        <v>2057</v>
      </c>
      <c r="C65" s="1234"/>
      <c r="D65" s="1235"/>
      <c r="E65" s="1236"/>
      <c r="F65" s="2274">
        <v>1408</v>
      </c>
      <c r="G65" s="873" t="s">
        <v>1789</v>
      </c>
      <c r="H65" s="1239"/>
      <c r="I65" s="810"/>
      <c r="J65" s="2186" t="s">
        <v>1921</v>
      </c>
      <c r="K65" s="2201"/>
      <c r="L65" s="2295">
        <v>80</v>
      </c>
      <c r="M65" s="2005">
        <v>1</v>
      </c>
      <c r="N65" s="2003">
        <f>+M65*L65</f>
        <v>80</v>
      </c>
      <c r="P65" s="2468" t="s">
        <v>1921</v>
      </c>
      <c r="Q65" s="2469"/>
      <c r="R65" s="2470"/>
      <c r="S65" s="2295">
        <v>80</v>
      </c>
      <c r="T65" s="2005">
        <v>1</v>
      </c>
      <c r="U65" s="2003">
        <f>+T65*S65</f>
        <v>80</v>
      </c>
    </row>
    <row r="66" spans="1:21">
      <c r="A66" s="853">
        <f t="shared" si="1"/>
        <v>53</v>
      </c>
      <c r="B66" s="1561" t="s">
        <v>2058</v>
      </c>
      <c r="C66" s="1234"/>
      <c r="D66" s="1235"/>
      <c r="E66" s="1236"/>
      <c r="F66" s="2274">
        <v>1887</v>
      </c>
      <c r="G66" s="873" t="s">
        <v>1789</v>
      </c>
      <c r="H66" s="1239"/>
      <c r="I66" s="810"/>
      <c r="J66" s="2202" t="s">
        <v>1922</v>
      </c>
      <c r="K66" s="2203"/>
      <c r="L66" s="2295"/>
      <c r="M66" s="2005">
        <v>2.12</v>
      </c>
      <c r="N66" s="2003">
        <f>+M66*L66</f>
        <v>0</v>
      </c>
      <c r="P66" s="2471" t="s">
        <v>1922</v>
      </c>
      <c r="Q66" s="2472"/>
      <c r="R66" s="2473"/>
      <c r="S66" s="2295"/>
      <c r="T66" s="2005">
        <v>2.12</v>
      </c>
      <c r="U66" s="2003">
        <f>+T66*S66</f>
        <v>0</v>
      </c>
    </row>
    <row r="67" spans="1:21">
      <c r="A67" s="853">
        <f t="shared" si="1"/>
        <v>54</v>
      </c>
      <c r="B67" s="1562" t="s">
        <v>2059</v>
      </c>
      <c r="C67" s="1234"/>
      <c r="D67" s="1235"/>
      <c r="E67" s="1236"/>
      <c r="F67" s="2275">
        <v>3322</v>
      </c>
      <c r="G67" s="873" t="s">
        <v>1789</v>
      </c>
      <c r="H67" s="1239"/>
      <c r="I67" s="810"/>
      <c r="J67" s="2202" t="s">
        <v>1923</v>
      </c>
      <c r="K67" s="2203"/>
      <c r="L67" s="2295"/>
      <c r="M67" s="2005">
        <v>2.56</v>
      </c>
      <c r="N67" s="2003">
        <f>+M67*L67</f>
        <v>0</v>
      </c>
      <c r="P67" s="2468" t="s">
        <v>1923</v>
      </c>
      <c r="Q67" s="2469"/>
      <c r="R67" s="2470"/>
      <c r="S67" s="2295"/>
      <c r="T67" s="2005">
        <v>2.56</v>
      </c>
      <c r="U67" s="2003">
        <f>+T67*S67</f>
        <v>0</v>
      </c>
    </row>
    <row r="68" spans="1:21">
      <c r="A68" s="853">
        <f t="shared" si="1"/>
        <v>55</v>
      </c>
      <c r="B68" s="1562" t="s">
        <v>2060</v>
      </c>
      <c r="C68" s="1234"/>
      <c r="D68" s="1235"/>
      <c r="E68" s="1236"/>
      <c r="F68" s="2274">
        <v>2530</v>
      </c>
      <c r="G68" s="873" t="s">
        <v>1789</v>
      </c>
      <c r="H68" s="1239"/>
      <c r="I68" s="810"/>
      <c r="J68" s="742"/>
      <c r="L68" s="2006">
        <f>SUM(L65:L67)</f>
        <v>80</v>
      </c>
      <c r="N68" s="2003">
        <f>ROUND(SUM(N65:N67),)</f>
        <v>80</v>
      </c>
      <c r="P68" s="742"/>
      <c r="S68" s="2006">
        <f>SUM(S65:S67)</f>
        <v>80</v>
      </c>
      <c r="U68" s="2003">
        <f>ROUND(SUM(U65:U67),)</f>
        <v>80</v>
      </c>
    </row>
    <row r="69" spans="1:21">
      <c r="A69" s="853">
        <f t="shared" si="1"/>
        <v>56</v>
      </c>
      <c r="B69" s="1562" t="s">
        <v>2061</v>
      </c>
      <c r="C69" s="1234"/>
      <c r="D69" s="1235"/>
      <c r="E69" s="1236"/>
      <c r="F69" s="2274">
        <v>4835</v>
      </c>
      <c r="G69" s="873" t="s">
        <v>1789</v>
      </c>
      <c r="H69" s="1239"/>
      <c r="I69" s="810"/>
      <c r="J69" s="742"/>
      <c r="L69" s="2463" t="s">
        <v>1925</v>
      </c>
      <c r="M69" s="2464"/>
      <c r="N69" s="2004">
        <f>+ROUND(N68/L68,2)</f>
        <v>1</v>
      </c>
      <c r="P69" s="742"/>
      <c r="S69" s="2463" t="s">
        <v>1925</v>
      </c>
      <c r="T69" s="2464"/>
      <c r="U69" s="2004">
        <f>+ROUND(U68/S68,2)</f>
        <v>1</v>
      </c>
    </row>
    <row r="70" spans="1:21">
      <c r="A70" s="853">
        <f t="shared" si="1"/>
        <v>57</v>
      </c>
      <c r="B70" s="1562" t="s">
        <v>708</v>
      </c>
      <c r="C70" s="1234"/>
      <c r="D70" s="1235"/>
      <c r="E70" s="1880"/>
      <c r="F70" s="2275">
        <v>65</v>
      </c>
      <c r="G70" s="873" t="s">
        <v>114</v>
      </c>
      <c r="H70" s="1239"/>
      <c r="I70" s="810"/>
      <c r="J70" s="810"/>
      <c r="K70" s="810"/>
      <c r="L70" s="810"/>
      <c r="M70" s="810"/>
    </row>
    <row r="71" spans="1:21">
      <c r="A71" s="853">
        <f t="shared" si="1"/>
        <v>58</v>
      </c>
      <c r="B71" s="2225" t="str">
        <f>+B64</f>
        <v>สำนักดัชนีการค้า สตูล(กันยายน 58)</v>
      </c>
      <c r="C71" s="2223"/>
      <c r="D71" s="2223"/>
      <c r="E71" s="2273" t="s">
        <v>709</v>
      </c>
      <c r="F71" s="2275">
        <v>476.64</v>
      </c>
      <c r="G71" s="1237" t="s">
        <v>3</v>
      </c>
      <c r="H71" s="2268">
        <v>150</v>
      </c>
      <c r="I71" s="810"/>
      <c r="J71" s="2015" t="s">
        <v>1929</v>
      </c>
      <c r="P71" s="2015" t="s">
        <v>1934</v>
      </c>
    </row>
    <row r="72" spans="1:21">
      <c r="A72" s="853">
        <f t="shared" si="1"/>
        <v>59</v>
      </c>
      <c r="B72" s="1238" t="s">
        <v>2129</v>
      </c>
      <c r="C72" s="1234"/>
      <c r="D72" s="1235"/>
      <c r="E72" s="1880"/>
      <c r="F72" s="2448">
        <f>1000/41.5*747</f>
        <v>18000</v>
      </c>
      <c r="G72" s="1237" t="s">
        <v>2130</v>
      </c>
      <c r="H72" s="1239"/>
      <c r="I72" s="810"/>
      <c r="L72" s="2191" t="s">
        <v>21</v>
      </c>
      <c r="M72" s="2191" t="s">
        <v>111</v>
      </c>
      <c r="S72" s="2191" t="s">
        <v>21</v>
      </c>
      <c r="T72" s="2191" t="s">
        <v>111</v>
      </c>
    </row>
    <row r="73" spans="1:21">
      <c r="A73" s="1240"/>
      <c r="B73" s="1241"/>
      <c r="C73" s="1242"/>
      <c r="D73" s="1242"/>
      <c r="E73" s="1243"/>
      <c r="F73" s="2446"/>
      <c r="G73" s="1244"/>
      <c r="H73" s="1245"/>
      <c r="I73" s="810"/>
      <c r="J73" s="2186" t="s">
        <v>1921</v>
      </c>
      <c r="K73" s="2201"/>
      <c r="L73" s="2295">
        <v>80</v>
      </c>
      <c r="M73" s="2005">
        <v>1</v>
      </c>
      <c r="N73" s="2003">
        <f>+M73*L73</f>
        <v>80</v>
      </c>
      <c r="P73" s="2468" t="s">
        <v>1921</v>
      </c>
      <c r="Q73" s="2469"/>
      <c r="R73" s="2470"/>
      <c r="S73" s="2295">
        <v>80</v>
      </c>
      <c r="T73" s="2005">
        <v>1</v>
      </c>
      <c r="U73" s="2003">
        <f>+T73*S73</f>
        <v>80</v>
      </c>
    </row>
    <row r="74" spans="1:21">
      <c r="A74" s="1246"/>
      <c r="B74" s="1247"/>
      <c r="C74" s="1248"/>
      <c r="D74" s="1248"/>
      <c r="E74" s="1249"/>
      <c r="F74" s="2447"/>
      <c r="G74" s="1250"/>
      <c r="H74" s="1251"/>
      <c r="I74" s="810"/>
      <c r="J74" s="2202" t="s">
        <v>1922</v>
      </c>
      <c r="K74" s="2203"/>
      <c r="L74" s="2295"/>
      <c r="M74" s="2005">
        <v>2.12</v>
      </c>
      <c r="N74" s="2003">
        <f>+M74*L74</f>
        <v>0</v>
      </c>
      <c r="P74" s="2471" t="s">
        <v>1922</v>
      </c>
      <c r="Q74" s="2472"/>
      <c r="R74" s="2473"/>
      <c r="S74" s="2295"/>
      <c r="T74" s="2005">
        <v>2.12</v>
      </c>
      <c r="U74" s="2003">
        <f>+T74*S74</f>
        <v>0</v>
      </c>
    </row>
    <row r="75" spans="1:21">
      <c r="J75" s="2202" t="s">
        <v>1923</v>
      </c>
      <c r="K75" s="2203"/>
      <c r="L75" s="2295"/>
      <c r="M75" s="2005">
        <v>2.56</v>
      </c>
      <c r="N75" s="2003">
        <f>+M75*L75</f>
        <v>0</v>
      </c>
      <c r="P75" s="2468" t="s">
        <v>1923</v>
      </c>
      <c r="Q75" s="2469"/>
      <c r="R75" s="2470"/>
      <c r="S75" s="2295"/>
      <c r="T75" s="2005">
        <v>2.56</v>
      </c>
      <c r="U75" s="2003">
        <f>+T75*S75</f>
        <v>0</v>
      </c>
    </row>
    <row r="76" spans="1:21">
      <c r="J76" s="742"/>
      <c r="L76" s="2006">
        <f>SUM(L73:L75)</f>
        <v>80</v>
      </c>
      <c r="N76" s="2003">
        <f>ROUND(SUM(N73:N75),)</f>
        <v>80</v>
      </c>
      <c r="P76" s="742"/>
      <c r="S76" s="2006">
        <f>SUM(S73:S75)</f>
        <v>80</v>
      </c>
      <c r="U76" s="2003">
        <f>ROUND(SUM(U73:U75),)</f>
        <v>80</v>
      </c>
    </row>
    <row r="77" spans="1:21">
      <c r="J77" s="742"/>
      <c r="L77" s="2463" t="s">
        <v>1925</v>
      </c>
      <c r="M77" s="2464"/>
      <c r="N77" s="2004">
        <f>+ROUND(N76/L76,2)</f>
        <v>1</v>
      </c>
      <c r="P77" s="742"/>
      <c r="S77" s="2463" t="s">
        <v>1925</v>
      </c>
      <c r="T77" s="2464"/>
      <c r="U77" s="2004">
        <f>+ROUND(U76/S76,2)</f>
        <v>1</v>
      </c>
    </row>
  </sheetData>
  <protectedRanges>
    <protectedRange sqref="E60:E64" name="Range5_1"/>
  </protectedRanges>
  <mergeCells count="45">
    <mergeCell ref="S77:T77"/>
    <mergeCell ref="P67:R67"/>
    <mergeCell ref="S69:T69"/>
    <mergeCell ref="L77:M77"/>
    <mergeCell ref="P73:R73"/>
    <mergeCell ref="P74:R74"/>
    <mergeCell ref="P75:R75"/>
    <mergeCell ref="B32:D32"/>
    <mergeCell ref="K45:L45"/>
    <mergeCell ref="N45:P45"/>
    <mergeCell ref="A1:M1"/>
    <mergeCell ref="B9:D9"/>
    <mergeCell ref="N27:O28"/>
    <mergeCell ref="O2:P2"/>
    <mergeCell ref="N39:P39"/>
    <mergeCell ref="B22:D22"/>
    <mergeCell ref="K38:L38"/>
    <mergeCell ref="K39:L39"/>
    <mergeCell ref="F4:G4"/>
    <mergeCell ref="I9:K9"/>
    <mergeCell ref="L9:M9"/>
    <mergeCell ref="K37:L37"/>
    <mergeCell ref="K44:L44"/>
    <mergeCell ref="F6:G6"/>
    <mergeCell ref="Z9:AA9"/>
    <mergeCell ref="Q15:S15"/>
    <mergeCell ref="K43:L43"/>
    <mergeCell ref="N43:P43"/>
    <mergeCell ref="N38:P38"/>
    <mergeCell ref="V2:W2"/>
    <mergeCell ref="L53:M53"/>
    <mergeCell ref="L61:M61"/>
    <mergeCell ref="L69:M69"/>
    <mergeCell ref="N44:P44"/>
    <mergeCell ref="N37:P37"/>
    <mergeCell ref="S53:T53"/>
    <mergeCell ref="P49:R49"/>
    <mergeCell ref="P50:R50"/>
    <mergeCell ref="P51:R51"/>
    <mergeCell ref="P57:R57"/>
    <mergeCell ref="P58:R58"/>
    <mergeCell ref="P59:R59"/>
    <mergeCell ref="S61:T61"/>
    <mergeCell ref="P65:R65"/>
    <mergeCell ref="P66:R6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Drop Down 1">
              <controlPr defaultSize="0" print="0" autoLine="0" autoPict="0">
                <anchor moveWithCells="1">
                  <from>
                    <xdr:col>2</xdr:col>
                    <xdr:colOff>19050</xdr:colOff>
                    <xdr:row>2</xdr:row>
                    <xdr:rowOff>38100</xdr:rowOff>
                  </from>
                  <to>
                    <xdr:col>5</xdr:col>
                    <xdr:colOff>590550</xdr:colOff>
                    <xdr:row>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Drop Down 2">
              <controlPr defaultSize="0" print="0" autoLine="0" autoPict="0">
                <anchor moveWithCells="1">
                  <from>
                    <xdr:col>5</xdr:col>
                    <xdr:colOff>685800</xdr:colOff>
                    <xdr:row>2</xdr:row>
                    <xdr:rowOff>28575</xdr:rowOff>
                  </from>
                  <to>
                    <xdr:col>12</xdr:col>
                    <xdr:colOff>123825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Drop Down 3">
              <controlPr defaultSize="0" print="0" autoLine="0" autoPict="0">
                <anchor moveWithCells="1">
                  <from>
                    <xdr:col>11</xdr:col>
                    <xdr:colOff>19050</xdr:colOff>
                    <xdr:row>3</xdr:row>
                    <xdr:rowOff>38100</xdr:rowOff>
                  </from>
                  <to>
                    <xdr:col>12</xdr:col>
                    <xdr:colOff>28575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Drop Down 4">
              <controlPr defaultSize="0" print="0" autoLine="0" autoPict="0">
                <anchor moveWithCells="1">
                  <from>
                    <xdr:col>2</xdr:col>
                    <xdr:colOff>9525</xdr:colOff>
                    <xdr:row>6</xdr:row>
                    <xdr:rowOff>38100</xdr:rowOff>
                  </from>
                  <to>
                    <xdr:col>3</xdr:col>
                    <xdr:colOff>161925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Drop Down 5">
              <controlPr defaultSize="0" print="0" autoLine="0" autoPict="0">
                <anchor moveWithCells="1">
                  <from>
                    <xdr:col>7</xdr:col>
                    <xdr:colOff>19050</xdr:colOff>
                    <xdr:row>3</xdr:row>
                    <xdr:rowOff>38100</xdr:rowOff>
                  </from>
                  <to>
                    <xdr:col>8</xdr:col>
                    <xdr:colOff>238125</xdr:colOff>
                    <xdr:row>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Drop Down 6">
              <controlPr defaultSize="0" print="0" autoLine="0" autoPict="0">
                <anchor moveWithCells="1">
                  <from>
                    <xdr:col>12</xdr:col>
                    <xdr:colOff>19050</xdr:colOff>
                    <xdr:row>1</xdr:row>
                    <xdr:rowOff>66675</xdr:rowOff>
                  </from>
                  <to>
                    <xdr:col>12</xdr:col>
                    <xdr:colOff>809625</xdr:colOff>
                    <xdr:row>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Drop Down 7">
              <controlPr defaultSize="0" print="0" autoLine="0" autoPict="0">
                <anchor moveWithCells="1">
                  <from>
                    <xdr:col>10</xdr:col>
                    <xdr:colOff>19050</xdr:colOff>
                    <xdr:row>1</xdr:row>
                    <xdr:rowOff>66675</xdr:rowOff>
                  </from>
                  <to>
                    <xdr:col>10</xdr:col>
                    <xdr:colOff>1228725</xdr:colOff>
                    <xdr:row>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1" name="Drop Down 8">
              <controlPr defaultSize="0" print="0" autoLine="0" autoPict="0">
                <anchor moveWithCells="1">
                  <from>
                    <xdr:col>7</xdr:col>
                    <xdr:colOff>466725</xdr:colOff>
                    <xdr:row>1</xdr:row>
                    <xdr:rowOff>66675</xdr:rowOff>
                  </from>
                  <to>
                    <xdr:col>9</xdr:col>
                    <xdr:colOff>152400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7" r:id="rId12" name="Drop Down 13">
              <controlPr defaultSize="0" print="0" autoLine="0" autoPict="0">
                <anchor moveWithCells="1">
                  <from>
                    <xdr:col>2</xdr:col>
                    <xdr:colOff>28575</xdr:colOff>
                    <xdr:row>1</xdr:row>
                    <xdr:rowOff>57150</xdr:rowOff>
                  </from>
                  <to>
                    <xdr:col>4</xdr:col>
                    <xdr:colOff>371475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8" r:id="rId13" name="Drop Down 14">
              <controlPr defaultSize="0" print="0" autoLine="0" autoPict="0">
                <anchor moveWithCells="1">
                  <from>
                    <xdr:col>2</xdr:col>
                    <xdr:colOff>28575</xdr:colOff>
                    <xdr:row>4</xdr:row>
                    <xdr:rowOff>47625</xdr:rowOff>
                  </from>
                  <to>
                    <xdr:col>3</xdr:col>
                    <xdr:colOff>714375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9" r:id="rId14" name="Drop Down 15">
              <controlPr defaultSize="0" print="0" autoLine="0" autoPict="0">
                <anchor moveWithCells="1">
                  <from>
                    <xdr:col>1</xdr:col>
                    <xdr:colOff>28575</xdr:colOff>
                    <xdr:row>15</xdr:row>
                    <xdr:rowOff>9525</xdr:rowOff>
                  </from>
                  <to>
                    <xdr:col>3</xdr:col>
                    <xdr:colOff>771525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0" r:id="rId15" name="Drop Down 16">
              <controlPr defaultSize="0" print="0" autoLine="0" autoPict="0">
                <anchor moveWithCells="1">
                  <from>
                    <xdr:col>1</xdr:col>
                    <xdr:colOff>28575</xdr:colOff>
                    <xdr:row>9</xdr:row>
                    <xdr:rowOff>57150</xdr:rowOff>
                  </from>
                  <to>
                    <xdr:col>3</xdr:col>
                    <xdr:colOff>771525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1" r:id="rId16" name="Drop Down 17">
              <controlPr defaultSize="0" print="0" autoLine="0" autoPict="0">
                <anchor moveWithCells="1">
                  <from>
                    <xdr:col>4</xdr:col>
                    <xdr:colOff>28575</xdr:colOff>
                    <xdr:row>31</xdr:row>
                    <xdr:rowOff>0</xdr:rowOff>
                  </from>
                  <to>
                    <xdr:col>4</xdr:col>
                    <xdr:colOff>1552575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2" r:id="rId17" name="Drop Down 18">
              <controlPr defaultSize="0" print="0" autoLine="0" autoPict="0">
                <anchor moveWithCells="1">
                  <from>
                    <xdr:col>2</xdr:col>
                    <xdr:colOff>19050</xdr:colOff>
                    <xdr:row>3</xdr:row>
                    <xdr:rowOff>38100</xdr:rowOff>
                  </from>
                  <to>
                    <xdr:col>4</xdr:col>
                    <xdr:colOff>1543050</xdr:colOff>
                    <xdr:row>3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50"/>
  </sheetPr>
  <dimension ref="A1:V65"/>
  <sheetViews>
    <sheetView zoomScale="110" zoomScaleNormal="110" workbookViewId="0">
      <selection activeCell="I45" sqref="I45"/>
    </sheetView>
  </sheetViews>
  <sheetFormatPr defaultColWidth="9.140625" defaultRowHeight="21.75"/>
  <cols>
    <col min="1" max="1" width="5.7109375" style="890" customWidth="1"/>
    <col min="2" max="2" width="17.7109375" style="890" bestFit="1" customWidth="1"/>
    <col min="3" max="3" width="9" style="935" customWidth="1"/>
    <col min="4" max="4" width="40.28515625" style="890" customWidth="1"/>
    <col min="5" max="5" width="10.28515625" style="890" bestFit="1" customWidth="1"/>
    <col min="6" max="6" width="6.5703125" style="890" customWidth="1"/>
    <col min="7" max="7" width="11.5703125" style="890" bestFit="1" customWidth="1"/>
    <col min="8" max="8" width="14" style="890" customWidth="1"/>
    <col min="9" max="9" width="13.5703125" style="890" bestFit="1" customWidth="1"/>
    <col min="10" max="10" width="14" style="890" bestFit="1" customWidth="1"/>
    <col min="11" max="11" width="6.7109375" style="937" customWidth="1"/>
    <col min="12" max="13" width="4.5703125" style="937" customWidth="1"/>
    <col min="14" max="14" width="13.7109375" style="171" bestFit="1" customWidth="1"/>
    <col min="15" max="15" width="12.7109375" style="1288" bestFit="1" customWidth="1"/>
    <col min="16" max="16" width="11.5703125" style="171" bestFit="1" customWidth="1"/>
    <col min="17" max="22" width="9.140625" style="171"/>
    <col min="23" max="16384" width="9.140625" style="890"/>
  </cols>
  <sheetData>
    <row r="1" spans="1:22" ht="24">
      <c r="A1" s="2490" t="s">
        <v>217</v>
      </c>
      <c r="B1" s="2490"/>
      <c r="C1" s="2490"/>
      <c r="D1" s="2490"/>
      <c r="E1" s="2490"/>
      <c r="F1" s="2490"/>
      <c r="G1" s="2490"/>
      <c r="H1" s="2490"/>
      <c r="I1" s="2490"/>
      <c r="J1" s="2490"/>
      <c r="K1" s="2490"/>
      <c r="L1" s="2490"/>
      <c r="M1" s="889"/>
    </row>
    <row r="2" spans="1:22" ht="23.25">
      <c r="A2" s="2496" t="str">
        <f>+ปร.5_Roads!A4&amp;""&amp;ปร.5_Roads!C4&amp;"  "&amp;ปร.5_Roads!A6&amp;""&amp;ปร.5_Roads!C6&amp;""&amp;ปร.5_Roads!F6&amp;""</f>
        <v>ประเภทงานบำรุงพิเศษ ซ่อมสร้างผิวทาง Asphaltic Concrete   รหัสสายทาง   ปน.4031แยกทางหลวงหมายเลข 4157-บ้านปาตา</v>
      </c>
      <c r="B2" s="2496"/>
      <c r="C2" s="2496"/>
      <c r="D2" s="2496"/>
      <c r="E2" s="2496"/>
      <c r="F2" s="2496"/>
      <c r="G2" s="2496"/>
      <c r="H2" s="2496"/>
      <c r="I2" s="2496"/>
      <c r="J2" s="2496"/>
      <c r="K2" s="2496"/>
      <c r="L2" s="2496"/>
      <c r="M2" s="891"/>
    </row>
    <row r="3" spans="1:22" ht="27.75">
      <c r="A3" s="2491" t="str">
        <f>+ปร.5_Roads!C7</f>
        <v>อำเภอ  ปะนาเระ,ยะหริ่ง จังหวัด ปัตตานี</v>
      </c>
      <c r="B3" s="2491"/>
      <c r="C3" s="2491"/>
      <c r="D3" s="2491"/>
      <c r="E3" s="2491"/>
      <c r="F3" s="2491"/>
      <c r="G3" s="2491"/>
      <c r="H3" s="892" t="str">
        <f>"ระยะเวลาดำเนินการ "&amp;L59&amp;"  วัน"</f>
        <v>ระยะเวลาดำเนินการ 120  วัน</v>
      </c>
      <c r="J3" s="2492" t="str">
        <f>"จำนวน  "&amp;A42&amp;"   งวด"</f>
        <v>จำนวน  13   งวด</v>
      </c>
      <c r="K3" s="2492"/>
      <c r="L3" s="893"/>
      <c r="M3" s="893"/>
    </row>
    <row r="4" spans="1:22" ht="21.95" customHeight="1">
      <c r="A4" s="2205" t="s">
        <v>218</v>
      </c>
      <c r="B4" s="2501" t="s">
        <v>645</v>
      </c>
      <c r="C4" s="2502"/>
      <c r="D4" s="2493" t="s">
        <v>1</v>
      </c>
      <c r="E4" s="2493" t="s">
        <v>22</v>
      </c>
      <c r="F4" s="2493" t="s">
        <v>23</v>
      </c>
      <c r="G4" s="2493" t="s">
        <v>220</v>
      </c>
      <c r="H4" s="2493" t="s">
        <v>221</v>
      </c>
      <c r="I4" s="2493" t="s">
        <v>222</v>
      </c>
      <c r="J4" s="2495" t="s">
        <v>223</v>
      </c>
      <c r="K4" s="2497" t="s">
        <v>224</v>
      </c>
      <c r="L4" s="2495" t="s">
        <v>225</v>
      </c>
      <c r="M4" s="894"/>
    </row>
    <row r="5" spans="1:22" ht="21.95" customHeight="1">
      <c r="A5" s="2206" t="s">
        <v>0</v>
      </c>
      <c r="B5" s="2207" t="s">
        <v>219</v>
      </c>
      <c r="C5" s="2207" t="s">
        <v>646</v>
      </c>
      <c r="D5" s="2499"/>
      <c r="E5" s="2500"/>
      <c r="F5" s="2500"/>
      <c r="G5" s="2499"/>
      <c r="H5" s="2499"/>
      <c r="I5" s="2494"/>
      <c r="J5" s="2495"/>
      <c r="K5" s="2498"/>
      <c r="L5" s="2495"/>
      <c r="M5" s="894"/>
    </row>
    <row r="6" spans="1:22" s="906" customFormat="1" ht="21.95" customHeight="1">
      <c r="A6" s="895">
        <v>1</v>
      </c>
      <c r="B6" s="740" t="s">
        <v>226</v>
      </c>
      <c r="C6" s="740" t="s">
        <v>647</v>
      </c>
      <c r="D6" s="896" t="str">
        <f>+ปร.4_Roads!C8</f>
        <v>งานขุดรื้อพื้นทางหินคลุกเดิมแล้วบดทับ</v>
      </c>
      <c r="E6" s="2023">
        <v>3000</v>
      </c>
      <c r="F6" s="897" t="s">
        <v>31</v>
      </c>
      <c r="G6" s="898">
        <f>+ปร.4_Roads!L8</f>
        <v>20</v>
      </c>
      <c r="H6" s="899">
        <f>G6*E6</f>
        <v>60000</v>
      </c>
      <c r="I6" s="900">
        <f>+ROUNDDOWN(H6*0.9,-3)</f>
        <v>54000</v>
      </c>
      <c r="J6" s="900">
        <f>+H6-I6</f>
        <v>6000</v>
      </c>
      <c r="K6" s="902"/>
      <c r="L6" s="903"/>
      <c r="M6" s="904"/>
      <c r="N6" s="1636">
        <f>+ปร.4_Roads!E8</f>
        <v>12184</v>
      </c>
      <c r="O6" s="1289">
        <f>+N6/4</f>
        <v>3046</v>
      </c>
      <c r="P6" s="905"/>
      <c r="Q6" s="905"/>
      <c r="R6" s="905"/>
      <c r="S6" s="905"/>
      <c r="T6" s="905"/>
      <c r="U6" s="905"/>
      <c r="V6" s="905"/>
    </row>
    <row r="7" spans="1:22" s="906" customFormat="1" ht="21.95" customHeight="1">
      <c r="A7" s="895"/>
      <c r="B7" s="740"/>
      <c r="C7" s="740"/>
      <c r="D7" s="896" t="str">
        <f>+ปร.4_Roads!C15</f>
        <v>หินคลุกบดอัดแน่น</v>
      </c>
      <c r="E7" s="2023">
        <v>360</v>
      </c>
      <c r="F7" s="897" t="s">
        <v>32</v>
      </c>
      <c r="G7" s="898">
        <f>+ปร.4_Roads!L15</f>
        <v>1274.2</v>
      </c>
      <c r="H7" s="899">
        <f>G7*E7</f>
        <v>458712</v>
      </c>
      <c r="I7" s="900">
        <f>+ROUNDDOWN(H7*0.9,-3)</f>
        <v>412000</v>
      </c>
      <c r="J7" s="900">
        <f>+H7-I7</f>
        <v>46712</v>
      </c>
      <c r="K7" s="902"/>
      <c r="L7" s="903"/>
      <c r="M7" s="904"/>
      <c r="N7" s="1636">
        <f>+O6*0.12</f>
        <v>365.52</v>
      </c>
      <c r="O7" s="1289">
        <f>+ปร.4_Roads!E15</f>
        <v>1506</v>
      </c>
      <c r="P7" s="905"/>
      <c r="Q7" s="905"/>
      <c r="R7" s="905"/>
      <c r="S7" s="905"/>
      <c r="T7" s="905"/>
      <c r="U7" s="905"/>
      <c r="V7" s="905"/>
    </row>
    <row r="8" spans="1:22" ht="21.95" customHeight="1" thickBot="1">
      <c r="A8" s="749"/>
      <c r="B8" s="740"/>
      <c r="C8" s="740"/>
      <c r="D8" s="749"/>
      <c r="E8" s="2503" t="s">
        <v>28</v>
      </c>
      <c r="F8" s="2504"/>
      <c r="G8" s="2505"/>
      <c r="H8" s="907">
        <f>SUM(H6:H7)</f>
        <v>518712</v>
      </c>
      <c r="I8" s="908">
        <f>SUM(I6:I7)</f>
        <v>466000</v>
      </c>
      <c r="J8" s="909">
        <f>SUM(J6:J7)</f>
        <v>52712</v>
      </c>
      <c r="K8" s="910">
        <f>+I8/$H$60*100</f>
        <v>5.9376701864011778</v>
      </c>
      <c r="L8" s="911">
        <v>30</v>
      </c>
      <c r="M8" s="912"/>
    </row>
    <row r="9" spans="1:22" s="906" customFormat="1" ht="21.95" customHeight="1" thickTop="1">
      <c r="A9" s="895">
        <f>+A6+1</f>
        <v>2</v>
      </c>
      <c r="B9" s="2025" t="s">
        <v>226</v>
      </c>
      <c r="C9" s="2025" t="s">
        <v>647</v>
      </c>
      <c r="D9" s="896" t="str">
        <f>+D6</f>
        <v>งานขุดรื้อพื้นทางหินคลุกเดิมแล้วบดทับ</v>
      </c>
      <c r="E9" s="2023">
        <f>+E6</f>
        <v>3000</v>
      </c>
      <c r="F9" s="897" t="str">
        <f>+F6</f>
        <v>ตร.ม.</v>
      </c>
      <c r="G9" s="898">
        <f>+G6</f>
        <v>20</v>
      </c>
      <c r="H9" s="899">
        <f>G9*E9</f>
        <v>60000</v>
      </c>
      <c r="I9" s="900">
        <f>+ROUNDDOWN(H9*0.9,-3)</f>
        <v>54000</v>
      </c>
      <c r="J9" s="900">
        <f>+H9-I9</f>
        <v>6000</v>
      </c>
      <c r="K9" s="902"/>
      <c r="L9" s="903"/>
      <c r="M9" s="904"/>
      <c r="N9" s="905"/>
      <c r="O9" s="1289"/>
      <c r="P9" s="905"/>
      <c r="Q9" s="905"/>
      <c r="R9" s="905"/>
      <c r="S9" s="905"/>
      <c r="T9" s="905"/>
      <c r="U9" s="905"/>
      <c r="V9" s="905"/>
    </row>
    <row r="10" spans="1:22" s="906" customFormat="1" ht="21.95" customHeight="1">
      <c r="A10" s="895"/>
      <c r="B10" s="2025"/>
      <c r="C10" s="2025"/>
      <c r="D10" s="896" t="str">
        <f>+D7</f>
        <v>หินคลุกบดอัดแน่น</v>
      </c>
      <c r="E10" s="2023">
        <f>+E7</f>
        <v>360</v>
      </c>
      <c r="F10" s="897" t="str">
        <f>+F7</f>
        <v>ลบ.ม.</v>
      </c>
      <c r="G10" s="898">
        <f>+ปร.4_Roads!L15</f>
        <v>1274.2</v>
      </c>
      <c r="H10" s="899">
        <f t="shared" ref="H10" si="0">G10*E10</f>
        <v>458712</v>
      </c>
      <c r="I10" s="900">
        <f t="shared" ref="I10" si="1">+ROUNDDOWN(H10*0.9,-3)</f>
        <v>412000</v>
      </c>
      <c r="J10" s="900">
        <f t="shared" ref="J10" si="2">+H10-I10</f>
        <v>46712</v>
      </c>
      <c r="K10" s="902"/>
      <c r="L10" s="903"/>
      <c r="M10" s="904"/>
      <c r="N10" s="2134"/>
      <c r="O10" s="1289"/>
      <c r="P10" s="905"/>
      <c r="Q10" s="905"/>
      <c r="R10" s="905"/>
      <c r="S10" s="905"/>
      <c r="T10" s="905"/>
      <c r="U10" s="905"/>
      <c r="V10" s="905"/>
    </row>
    <row r="11" spans="1:22" ht="21.95" customHeight="1" thickBot="1">
      <c r="A11" s="749"/>
      <c r="B11" s="2025"/>
      <c r="C11" s="2025"/>
      <c r="D11" s="749"/>
      <c r="E11" s="2503" t="s">
        <v>28</v>
      </c>
      <c r="F11" s="2504"/>
      <c r="G11" s="2505"/>
      <c r="H11" s="907">
        <f>SUM(H9:H10)</f>
        <v>518712</v>
      </c>
      <c r="I11" s="908">
        <f>SUM(I9:I10)</f>
        <v>466000</v>
      </c>
      <c r="J11" s="909">
        <f>SUM(J9:J10)</f>
        <v>52712</v>
      </c>
      <c r="K11" s="910">
        <f>+I11/$H$60*100</f>
        <v>5.9376701864011778</v>
      </c>
      <c r="L11" s="911">
        <f>+L8+10</f>
        <v>40</v>
      </c>
      <c r="M11" s="912"/>
    </row>
    <row r="12" spans="1:22" s="906" customFormat="1" ht="21.95" customHeight="1" thickTop="1">
      <c r="A12" s="895">
        <f>+A9+1</f>
        <v>3</v>
      </c>
      <c r="B12" s="2390" t="s">
        <v>226</v>
      </c>
      <c r="C12" s="2025" t="s">
        <v>647</v>
      </c>
      <c r="D12" s="896" t="str">
        <f>+D9</f>
        <v>งานขุดรื้อพื้นทางหินคลุกเดิมแล้วบดทับ</v>
      </c>
      <c r="E12" s="2023">
        <f>+E9</f>
        <v>3000</v>
      </c>
      <c r="F12" s="897" t="str">
        <f>+ปร.4_Roads!F26</f>
        <v>ตร.ม.</v>
      </c>
      <c r="G12" s="898">
        <f>+G9</f>
        <v>20</v>
      </c>
      <c r="H12" s="899">
        <f>G12*E12</f>
        <v>60000</v>
      </c>
      <c r="I12" s="900">
        <f>+ROUNDDOWN(H12*0.9,-3)</f>
        <v>54000</v>
      </c>
      <c r="J12" s="900">
        <f>+H12-I12</f>
        <v>6000</v>
      </c>
      <c r="K12" s="902"/>
      <c r="L12" s="903"/>
      <c r="M12" s="904"/>
      <c r="N12" s="2134"/>
      <c r="O12" s="1289"/>
      <c r="P12" s="905"/>
      <c r="Q12" s="905"/>
      <c r="R12" s="905"/>
      <c r="S12" s="905"/>
      <c r="T12" s="905"/>
      <c r="U12" s="905"/>
      <c r="V12" s="905"/>
    </row>
    <row r="13" spans="1:22" s="906" customFormat="1" ht="21.95" customHeight="1">
      <c r="A13" s="895"/>
      <c r="B13" s="2025"/>
      <c r="C13" s="2025"/>
      <c r="D13" s="896" t="str">
        <f>+D10</f>
        <v>หินคลุกบดอัดแน่น</v>
      </c>
      <c r="E13" s="2023">
        <f>+E10</f>
        <v>360</v>
      </c>
      <c r="F13" s="897" t="str">
        <f>+F10</f>
        <v>ลบ.ม.</v>
      </c>
      <c r="G13" s="898">
        <f>+G10</f>
        <v>1274.2</v>
      </c>
      <c r="H13" s="899">
        <f t="shared" ref="H13" si="3">G13*E13</f>
        <v>458712</v>
      </c>
      <c r="I13" s="900">
        <f t="shared" ref="I13" si="4">+ROUNDDOWN(H13*0.9,-3)</f>
        <v>412000</v>
      </c>
      <c r="J13" s="900">
        <f t="shared" ref="J13" si="5">+H13-I13</f>
        <v>46712</v>
      </c>
      <c r="K13" s="902"/>
      <c r="L13" s="903"/>
      <c r="M13" s="904"/>
      <c r="N13" s="905"/>
      <c r="O13" s="1289"/>
      <c r="P13" s="905"/>
      <c r="Q13" s="905"/>
      <c r="R13" s="905"/>
      <c r="S13" s="905"/>
      <c r="T13" s="905"/>
      <c r="U13" s="905"/>
      <c r="V13" s="905"/>
    </row>
    <row r="14" spans="1:22" ht="21.95" customHeight="1" thickBot="1">
      <c r="A14" s="749"/>
      <c r="B14" s="2025"/>
      <c r="C14" s="2025"/>
      <c r="D14" s="749"/>
      <c r="E14" s="2503" t="s">
        <v>28</v>
      </c>
      <c r="F14" s="2504"/>
      <c r="G14" s="2505"/>
      <c r="H14" s="907">
        <f>SUM(H12:H13)</f>
        <v>518712</v>
      </c>
      <c r="I14" s="908">
        <f>SUM(I12:I13)</f>
        <v>466000</v>
      </c>
      <c r="J14" s="909">
        <f>SUM(J12:J13)</f>
        <v>52712</v>
      </c>
      <c r="K14" s="910">
        <f>+I14/$H$60*100</f>
        <v>5.9376701864011778</v>
      </c>
      <c r="L14" s="911">
        <f>+L11+10</f>
        <v>50</v>
      </c>
      <c r="M14" s="912"/>
    </row>
    <row r="15" spans="1:22" ht="21.95" customHeight="1" thickTop="1">
      <c r="A15" s="740">
        <f>+A12+1</f>
        <v>4</v>
      </c>
      <c r="B15" s="740" t="s">
        <v>226</v>
      </c>
      <c r="C15" s="1635" t="s">
        <v>647</v>
      </c>
      <c r="D15" s="896" t="str">
        <f>+D12</f>
        <v>งานขุดรื้อพื้นทางหินคลุกเดิมแล้วบดทับ</v>
      </c>
      <c r="E15" s="2023">
        <f>+N6-E12-E9-E6</f>
        <v>3184</v>
      </c>
      <c r="F15" s="897" t="str">
        <f>+F9</f>
        <v>ตร.ม.</v>
      </c>
      <c r="G15" s="898">
        <f>+G12</f>
        <v>20</v>
      </c>
      <c r="H15" s="900">
        <f>+E15*G15</f>
        <v>63680</v>
      </c>
      <c r="I15" s="900">
        <f>+ROUNDDOWN(H15*0.9,-3)</f>
        <v>57000</v>
      </c>
      <c r="J15" s="900">
        <f>+H15-I15</f>
        <v>6680</v>
      </c>
      <c r="K15" s="914"/>
      <c r="L15" s="911"/>
      <c r="M15" s="912"/>
      <c r="N15" s="1010"/>
    </row>
    <row r="16" spans="1:22" ht="21.95" customHeight="1">
      <c r="A16" s="2021"/>
      <c r="B16" s="2021"/>
      <c r="C16" s="2021"/>
      <c r="D16" s="896" t="str">
        <f>+D13</f>
        <v>หินคลุกบดอัดแน่น</v>
      </c>
      <c r="E16" s="2023">
        <f>+O7-E7-E10-E13</f>
        <v>426</v>
      </c>
      <c r="F16" s="897" t="str">
        <f>+F10</f>
        <v>ลบ.ม.</v>
      </c>
      <c r="G16" s="898">
        <f>+G13</f>
        <v>1274.2</v>
      </c>
      <c r="H16" s="900">
        <f>+E16*G16</f>
        <v>542809.20000000007</v>
      </c>
      <c r="I16" s="900">
        <f>+ROUNDDOWN(H16*0.9,-3)</f>
        <v>488000</v>
      </c>
      <c r="J16" s="900">
        <f>+H16-I16</f>
        <v>54809.20000000007</v>
      </c>
      <c r="K16" s="914"/>
      <c r="L16" s="911"/>
      <c r="M16" s="912"/>
      <c r="N16" s="1010"/>
    </row>
    <row r="17" spans="1:15" ht="21.75" customHeight="1" thickBot="1">
      <c r="A17" s="740"/>
      <c r="B17" s="740"/>
      <c r="C17" s="740"/>
      <c r="D17" s="749"/>
      <c r="E17" s="2503" t="s">
        <v>28</v>
      </c>
      <c r="F17" s="2504"/>
      <c r="G17" s="2505"/>
      <c r="H17" s="907">
        <f>SUM(H15:H16)</f>
        <v>606489.20000000007</v>
      </c>
      <c r="I17" s="908">
        <f>SUM(I15:I16)</f>
        <v>545000</v>
      </c>
      <c r="J17" s="909">
        <f>SUM(J15:J16)</f>
        <v>61489.20000000007</v>
      </c>
      <c r="K17" s="910">
        <f>+I17/$H$60*100</f>
        <v>6.9442709261558848</v>
      </c>
      <c r="L17" s="911">
        <f>+L14+10</f>
        <v>60</v>
      </c>
      <c r="M17" s="912"/>
    </row>
    <row r="18" spans="1:15" ht="21.95" customHeight="1" thickTop="1">
      <c r="A18" s="2021">
        <f>+A15+1</f>
        <v>5</v>
      </c>
      <c r="B18" s="2390" t="s">
        <v>506</v>
      </c>
      <c r="C18" s="2021" t="s">
        <v>647</v>
      </c>
      <c r="D18" s="925" t="str">
        <f>+B18</f>
        <v>งาน Prime Coat</v>
      </c>
      <c r="E18" s="913">
        <f>+O18</f>
        <v>1523</v>
      </c>
      <c r="F18" s="913" t="s">
        <v>31</v>
      </c>
      <c r="G18" s="918">
        <f>+ปร.4_Roads!L21</f>
        <v>43.4</v>
      </c>
      <c r="H18" s="919">
        <f>+E18*G18</f>
        <v>66098.2</v>
      </c>
      <c r="I18" s="900">
        <f>+ROUNDDOWN(H18*0.9,-3)</f>
        <v>59000</v>
      </c>
      <c r="J18" s="919">
        <f>+H18-I18</f>
        <v>7098.1999999999971</v>
      </c>
      <c r="K18" s="910"/>
      <c r="L18" s="911"/>
      <c r="M18" s="912"/>
      <c r="N18" s="2024">
        <f>+ปร.4_Roads!E21+ปร.4_Roads!E28</f>
        <v>12184</v>
      </c>
      <c r="O18" s="1288">
        <f>+N18/8</f>
        <v>1523</v>
      </c>
    </row>
    <row r="19" spans="1:15" ht="21.95" customHeight="1">
      <c r="A19" s="2021"/>
      <c r="B19" s="2390" t="s">
        <v>2085</v>
      </c>
      <c r="C19" s="2021" t="s">
        <v>647</v>
      </c>
      <c r="D19" s="917" t="str">
        <f>+B19</f>
        <v>Aspaltic Concreat</v>
      </c>
      <c r="E19" s="921">
        <f>+E18</f>
        <v>1523</v>
      </c>
      <c r="F19" s="921" t="str">
        <f>+F18</f>
        <v>ตร.ม.</v>
      </c>
      <c r="G19" s="921">
        <f>+ปร.4_Roads!L24</f>
        <v>412</v>
      </c>
      <c r="H19" s="919">
        <f>+E19*G19</f>
        <v>627476</v>
      </c>
      <c r="I19" s="900">
        <f>+ROUNDDOWN(H19*0.9,-3)</f>
        <v>564000</v>
      </c>
      <c r="J19" s="919">
        <f>+H19-I19</f>
        <v>63476</v>
      </c>
      <c r="K19" s="910"/>
      <c r="L19" s="911"/>
      <c r="M19" s="912"/>
    </row>
    <row r="20" spans="1:15" ht="21.95" customHeight="1" thickBot="1">
      <c r="A20" s="2021"/>
      <c r="B20" s="2021"/>
      <c r="C20" s="2021"/>
      <c r="D20" s="749"/>
      <c r="E20" s="2503" t="s">
        <v>28</v>
      </c>
      <c r="F20" s="2504"/>
      <c r="G20" s="2505"/>
      <c r="H20" s="907">
        <f>SUM(H18:H19)</f>
        <v>693574.2</v>
      </c>
      <c r="I20" s="908">
        <f>SUM(I18:I19)</f>
        <v>623000</v>
      </c>
      <c r="J20" s="909">
        <f>SUM(J18:J19)</f>
        <v>70574.2</v>
      </c>
      <c r="K20" s="910">
        <f>+I20/$H$60*100</f>
        <v>7.9381298843947086</v>
      </c>
      <c r="L20" s="911">
        <f>+L17+10</f>
        <v>70</v>
      </c>
      <c r="M20" s="912"/>
    </row>
    <row r="21" spans="1:15" ht="21.95" customHeight="1" thickTop="1">
      <c r="A21" s="2021">
        <f>+A18+1</f>
        <v>6</v>
      </c>
      <c r="B21" s="2025" t="s">
        <v>506</v>
      </c>
      <c r="C21" s="2025" t="s">
        <v>647</v>
      </c>
      <c r="D21" s="915" t="str">
        <f>+D18</f>
        <v>งาน Prime Coat</v>
      </c>
      <c r="E21" s="913">
        <f>+E18</f>
        <v>1523</v>
      </c>
      <c r="F21" s="913" t="s">
        <v>31</v>
      </c>
      <c r="G21" s="918">
        <f>+G18</f>
        <v>43.4</v>
      </c>
      <c r="H21" s="919">
        <f>+E21*G21</f>
        <v>66098.2</v>
      </c>
      <c r="I21" s="900">
        <f>+ROUNDDOWN(H21*0.9,-3)</f>
        <v>59000</v>
      </c>
      <c r="J21" s="919">
        <f>+H21-I21</f>
        <v>7098.1999999999971</v>
      </c>
      <c r="K21" s="910"/>
      <c r="L21" s="911"/>
      <c r="M21" s="912"/>
      <c r="N21" s="2024"/>
    </row>
    <row r="22" spans="1:15" ht="21.95" customHeight="1">
      <c r="A22" s="2021"/>
      <c r="B22" s="2390" t="s">
        <v>2085</v>
      </c>
      <c r="C22" s="2025"/>
      <c r="D22" s="915" t="str">
        <f>+D19</f>
        <v>Aspaltic Concreat</v>
      </c>
      <c r="E22" s="921">
        <f>+E21</f>
        <v>1523</v>
      </c>
      <c r="F22" s="921" t="str">
        <f>+F21</f>
        <v>ตร.ม.</v>
      </c>
      <c r="G22" s="921">
        <f>+G19</f>
        <v>412</v>
      </c>
      <c r="H22" s="919">
        <f>+E22*G22</f>
        <v>627476</v>
      </c>
      <c r="I22" s="900">
        <f>+ROUNDDOWN(H22*0.9,-3)</f>
        <v>564000</v>
      </c>
      <c r="J22" s="919">
        <f>+H22-I22</f>
        <v>63476</v>
      </c>
      <c r="K22" s="910"/>
      <c r="L22" s="911"/>
      <c r="M22" s="912"/>
    </row>
    <row r="23" spans="1:15" ht="21.95" customHeight="1" thickBot="1">
      <c r="A23" s="2021"/>
      <c r="B23" s="2021"/>
      <c r="C23" s="2021"/>
      <c r="D23" s="749"/>
      <c r="E23" s="2522" t="s">
        <v>28</v>
      </c>
      <c r="F23" s="2523"/>
      <c r="G23" s="2524"/>
      <c r="H23" s="907">
        <f>SUM(H21:H22)</f>
        <v>693574.2</v>
      </c>
      <c r="I23" s="908">
        <f>SUM(I21:I22)</f>
        <v>623000</v>
      </c>
      <c r="J23" s="909">
        <f>SUM(J21:J22)</f>
        <v>70574.2</v>
      </c>
      <c r="K23" s="910">
        <f>+I23/$H$60*100</f>
        <v>7.9381298843947086</v>
      </c>
      <c r="L23" s="911">
        <f>+L20+10</f>
        <v>80</v>
      </c>
      <c r="M23" s="912"/>
    </row>
    <row r="24" spans="1:15" ht="21.95" customHeight="1" thickTop="1">
      <c r="A24" s="2021">
        <f>+A21+1</f>
        <v>7</v>
      </c>
      <c r="B24" s="2021" t="str">
        <f>+B21</f>
        <v>งาน Prime Coat</v>
      </c>
      <c r="C24" s="2021" t="s">
        <v>647</v>
      </c>
      <c r="D24" s="925" t="str">
        <f>+D21</f>
        <v>งาน Prime Coat</v>
      </c>
      <c r="E24" s="913">
        <f>+E21</f>
        <v>1523</v>
      </c>
      <c r="F24" s="913" t="s">
        <v>31</v>
      </c>
      <c r="G24" s="918">
        <f>+G21</f>
        <v>43.4</v>
      </c>
      <c r="H24" s="919">
        <f>+E24*G24</f>
        <v>66098.2</v>
      </c>
      <c r="I24" s="900">
        <f>+ROUNDDOWN(H24*0.9,-3)</f>
        <v>59000</v>
      </c>
      <c r="J24" s="919">
        <f>+H24-I24</f>
        <v>7098.1999999999971</v>
      </c>
      <c r="K24" s="910"/>
      <c r="L24" s="911"/>
      <c r="M24" s="912"/>
      <c r="N24" s="2024"/>
    </row>
    <row r="25" spans="1:15" ht="21.95" customHeight="1">
      <c r="A25" s="2021"/>
      <c r="B25" s="2390" t="s">
        <v>2085</v>
      </c>
      <c r="C25" s="2021"/>
      <c r="D25" s="925" t="str">
        <f>+D22</f>
        <v>Aspaltic Concreat</v>
      </c>
      <c r="E25" s="921">
        <f>+E24</f>
        <v>1523</v>
      </c>
      <c r="F25" s="921" t="str">
        <f>+F24</f>
        <v>ตร.ม.</v>
      </c>
      <c r="G25" s="921">
        <f>+G22</f>
        <v>412</v>
      </c>
      <c r="H25" s="919">
        <f>+E25*G25</f>
        <v>627476</v>
      </c>
      <c r="I25" s="900">
        <f>+ROUNDDOWN(H25*0.9,-3)</f>
        <v>564000</v>
      </c>
      <c r="J25" s="919">
        <f>+H25-I25</f>
        <v>63476</v>
      </c>
      <c r="K25" s="910"/>
      <c r="L25" s="911"/>
      <c r="M25" s="912"/>
    </row>
    <row r="26" spans="1:15" ht="21.95" customHeight="1" thickBot="1">
      <c r="A26" s="2021"/>
      <c r="B26" s="2021"/>
      <c r="C26" s="2021"/>
      <c r="D26" s="749"/>
      <c r="E26" s="2503" t="s">
        <v>28</v>
      </c>
      <c r="F26" s="2504"/>
      <c r="G26" s="2505"/>
      <c r="H26" s="907">
        <f>SUM(H24:H25)</f>
        <v>693574.2</v>
      </c>
      <c r="I26" s="908">
        <f>SUM(I24:I25)</f>
        <v>623000</v>
      </c>
      <c r="J26" s="909">
        <f>SUM(J24:J25)</f>
        <v>70574.2</v>
      </c>
      <c r="K26" s="910">
        <f>+I26/$H$60*100</f>
        <v>7.9381298843947086</v>
      </c>
      <c r="L26" s="911">
        <f>+L23+10</f>
        <v>90</v>
      </c>
      <c r="M26" s="912"/>
    </row>
    <row r="27" spans="1:15" ht="21.95" customHeight="1" thickTop="1">
      <c r="A27" s="2021">
        <f>+A24+1</f>
        <v>8</v>
      </c>
      <c r="B27" s="2025" t="str">
        <f>+B24</f>
        <v>งาน Prime Coat</v>
      </c>
      <c r="C27" s="2025" t="s">
        <v>647</v>
      </c>
      <c r="D27" s="925" t="str">
        <f>+D24</f>
        <v>งาน Prime Coat</v>
      </c>
      <c r="E27" s="913">
        <f>+E24</f>
        <v>1523</v>
      </c>
      <c r="F27" s="913" t="s">
        <v>31</v>
      </c>
      <c r="G27" s="918">
        <f>+G24</f>
        <v>43.4</v>
      </c>
      <c r="H27" s="919">
        <f>+E27*G27</f>
        <v>66098.2</v>
      </c>
      <c r="I27" s="900">
        <f>+ROUNDDOWN(H27*0.9,-3)</f>
        <v>59000</v>
      </c>
      <c r="J27" s="919">
        <f>+H27-I27</f>
        <v>7098.1999999999971</v>
      </c>
      <c r="K27" s="910"/>
      <c r="L27" s="911"/>
      <c r="M27" s="912"/>
      <c r="N27" s="2024"/>
    </row>
    <row r="28" spans="1:15" ht="21.95" customHeight="1">
      <c r="A28" s="2021"/>
      <c r="B28" s="916" t="str">
        <f>+B25</f>
        <v>Aspaltic Concreat</v>
      </c>
      <c r="C28" s="2025" t="s">
        <v>647</v>
      </c>
      <c r="D28" s="917" t="str">
        <f>+D25</f>
        <v>Aspaltic Concreat</v>
      </c>
      <c r="E28" s="921">
        <f>+E25</f>
        <v>1523</v>
      </c>
      <c r="F28" s="921" t="str">
        <f>+F27</f>
        <v>ตร.ม.</v>
      </c>
      <c r="G28" s="921">
        <f>+G25</f>
        <v>412</v>
      </c>
      <c r="H28" s="919">
        <f>+E28*G28</f>
        <v>627476</v>
      </c>
      <c r="I28" s="900">
        <f>+ROUNDDOWN(H28*0.9,-3)</f>
        <v>564000</v>
      </c>
      <c r="J28" s="919">
        <f>+H28-I28</f>
        <v>63476</v>
      </c>
      <c r="K28" s="910"/>
      <c r="L28" s="911"/>
      <c r="M28" s="912"/>
    </row>
    <row r="29" spans="1:15" ht="21.95" customHeight="1" thickBot="1">
      <c r="A29" s="2021"/>
      <c r="B29" s="2021"/>
      <c r="C29" s="2021"/>
      <c r="D29" s="749"/>
      <c r="E29" s="2503" t="s">
        <v>28</v>
      </c>
      <c r="F29" s="2504"/>
      <c r="G29" s="2505"/>
      <c r="H29" s="907">
        <f>SUM(H27:H28)</f>
        <v>693574.2</v>
      </c>
      <c r="I29" s="908">
        <f>SUM(I27:I28)</f>
        <v>623000</v>
      </c>
      <c r="J29" s="909">
        <f>SUM(J27:J28)</f>
        <v>70574.2</v>
      </c>
      <c r="K29" s="910">
        <f>+I29/$H$60*100</f>
        <v>7.9381298843947086</v>
      </c>
      <c r="L29" s="911">
        <f>+L26+10</f>
        <v>100</v>
      </c>
      <c r="M29" s="912"/>
    </row>
    <row r="30" spans="1:15" ht="21.95" customHeight="1" thickTop="1">
      <c r="A30" s="2021">
        <f>+A27+1</f>
        <v>9</v>
      </c>
      <c r="B30" s="2025" t="str">
        <f>+B27</f>
        <v>งาน Prime Coat</v>
      </c>
      <c r="C30" s="2025" t="s">
        <v>647</v>
      </c>
      <c r="D30" s="925" t="str">
        <f>+D27</f>
        <v>งาน Prime Coat</v>
      </c>
      <c r="E30" s="913">
        <f>+E27</f>
        <v>1523</v>
      </c>
      <c r="F30" s="913" t="s">
        <v>31</v>
      </c>
      <c r="G30" s="918">
        <f>+G27</f>
        <v>43.4</v>
      </c>
      <c r="H30" s="919">
        <f>+E30*G30</f>
        <v>66098.2</v>
      </c>
      <c r="I30" s="900">
        <f>+ROUNDDOWN(H30*0.9,-3)</f>
        <v>59000</v>
      </c>
      <c r="J30" s="919">
        <f>+H30-I30</f>
        <v>7098.1999999999971</v>
      </c>
      <c r="K30" s="910"/>
      <c r="L30" s="911"/>
      <c r="M30" s="912"/>
    </row>
    <row r="31" spans="1:15" ht="21.95" customHeight="1">
      <c r="A31" s="2021"/>
      <c r="B31" s="916" t="str">
        <f>+B28</f>
        <v>Aspaltic Concreat</v>
      </c>
      <c r="C31" s="2025" t="s">
        <v>647</v>
      </c>
      <c r="D31" s="917" t="str">
        <f>+D28</f>
        <v>Aspaltic Concreat</v>
      </c>
      <c r="E31" s="921">
        <f>+E30</f>
        <v>1523</v>
      </c>
      <c r="F31" s="921" t="str">
        <f>+F30</f>
        <v>ตร.ม.</v>
      </c>
      <c r="G31" s="921">
        <f>+G28</f>
        <v>412</v>
      </c>
      <c r="H31" s="919">
        <f>+E31*G31</f>
        <v>627476</v>
      </c>
      <c r="I31" s="900">
        <f>+ROUNDDOWN(H31*0.9,-3)</f>
        <v>564000</v>
      </c>
      <c r="J31" s="919">
        <f>+H31-I31</f>
        <v>63476</v>
      </c>
      <c r="K31" s="910"/>
      <c r="L31" s="911"/>
      <c r="M31" s="912"/>
    </row>
    <row r="32" spans="1:15" ht="21.95" customHeight="1" thickBot="1">
      <c r="A32" s="2021"/>
      <c r="B32" s="2021"/>
      <c r="C32" s="2021"/>
      <c r="D32" s="749"/>
      <c r="E32" s="2503" t="s">
        <v>28</v>
      </c>
      <c r="F32" s="2504"/>
      <c r="G32" s="2505"/>
      <c r="H32" s="907">
        <f>SUM(H30:H31)</f>
        <v>693574.2</v>
      </c>
      <c r="I32" s="908">
        <f>SUM(I30:I31)</f>
        <v>623000</v>
      </c>
      <c r="J32" s="909">
        <f>SUM(J30:J31)</f>
        <v>70574.2</v>
      </c>
      <c r="K32" s="910">
        <f>+I32/$H$60*100</f>
        <v>7.9381298843947086</v>
      </c>
      <c r="L32" s="911">
        <v>110</v>
      </c>
      <c r="M32" s="912"/>
    </row>
    <row r="33" spans="1:16" ht="21.95" customHeight="1" thickTop="1">
      <c r="A33" s="2390">
        <f>+A30+1</f>
        <v>10</v>
      </c>
      <c r="B33" s="2390" t="str">
        <f>+B30</f>
        <v>งาน Prime Coat</v>
      </c>
      <c r="C33" s="2390" t="s">
        <v>647</v>
      </c>
      <c r="D33" s="925" t="str">
        <f>+D30</f>
        <v>งาน Prime Coat</v>
      </c>
      <c r="E33" s="913">
        <f>+E30</f>
        <v>1523</v>
      </c>
      <c r="F33" s="913" t="s">
        <v>31</v>
      </c>
      <c r="G33" s="918">
        <f>+G30</f>
        <v>43.4</v>
      </c>
      <c r="H33" s="919">
        <f>+E33*G33</f>
        <v>66098.2</v>
      </c>
      <c r="I33" s="900">
        <f>+ROUNDDOWN(H33*0.9,-3)</f>
        <v>59000</v>
      </c>
      <c r="J33" s="919">
        <f>+H33-I33</f>
        <v>7098.1999999999971</v>
      </c>
      <c r="K33" s="910"/>
      <c r="L33" s="911"/>
      <c r="M33" s="912"/>
      <c r="N33" s="2024"/>
    </row>
    <row r="34" spans="1:16" ht="21.95" customHeight="1">
      <c r="A34" s="2390"/>
      <c r="B34" s="2390" t="s">
        <v>2085</v>
      </c>
      <c r="C34" s="2390"/>
      <c r="D34" s="925" t="str">
        <f>+D31</f>
        <v>Aspaltic Concreat</v>
      </c>
      <c r="E34" s="921">
        <f>+E33</f>
        <v>1523</v>
      </c>
      <c r="F34" s="921" t="str">
        <f>+F33</f>
        <v>ตร.ม.</v>
      </c>
      <c r="G34" s="921">
        <f>+G31</f>
        <v>412</v>
      </c>
      <c r="H34" s="919">
        <f>+E34*G34</f>
        <v>627476</v>
      </c>
      <c r="I34" s="900">
        <f>+ROUNDDOWN(H34*0.9,-3)</f>
        <v>564000</v>
      </c>
      <c r="J34" s="919">
        <f>+H34-I34</f>
        <v>63476</v>
      </c>
      <c r="K34" s="910"/>
      <c r="L34" s="911"/>
      <c r="M34" s="912"/>
    </row>
    <row r="35" spans="1:16" ht="21.95" customHeight="1" thickBot="1">
      <c r="A35" s="2390"/>
      <c r="B35" s="2390"/>
      <c r="C35" s="2390"/>
      <c r="D35" s="749"/>
      <c r="E35" s="2503" t="s">
        <v>28</v>
      </c>
      <c r="F35" s="2504"/>
      <c r="G35" s="2505"/>
      <c r="H35" s="907">
        <f>SUM(H33:H34)</f>
        <v>693574.2</v>
      </c>
      <c r="I35" s="908">
        <f>SUM(I33:I34)</f>
        <v>623000</v>
      </c>
      <c r="J35" s="909">
        <f>SUM(J33:J34)</f>
        <v>70574.2</v>
      </c>
      <c r="K35" s="910">
        <f>+I35/$H$60*100</f>
        <v>7.9381298843947086</v>
      </c>
      <c r="L35" s="911">
        <f>+L32+10</f>
        <v>120</v>
      </c>
      <c r="M35" s="912"/>
    </row>
    <row r="36" spans="1:16" ht="21.95" customHeight="1" thickTop="1">
      <c r="A36" s="2390">
        <f>+A33+1</f>
        <v>11</v>
      </c>
      <c r="B36" s="2390" t="str">
        <f>+B33</f>
        <v>งาน Prime Coat</v>
      </c>
      <c r="C36" s="2390" t="s">
        <v>647</v>
      </c>
      <c r="D36" s="925" t="str">
        <f>+D33</f>
        <v>งาน Prime Coat</v>
      </c>
      <c r="E36" s="913">
        <f>+E33</f>
        <v>1523</v>
      </c>
      <c r="F36" s="913" t="s">
        <v>31</v>
      </c>
      <c r="G36" s="918">
        <f>+G33</f>
        <v>43.4</v>
      </c>
      <c r="H36" s="919">
        <f>+E36*G36</f>
        <v>66098.2</v>
      </c>
      <c r="I36" s="900">
        <f>+ROUNDDOWN(H36*0.9,-3)</f>
        <v>59000</v>
      </c>
      <c r="J36" s="919">
        <f>+H36-I36</f>
        <v>7098.1999999999971</v>
      </c>
      <c r="K36" s="910"/>
      <c r="L36" s="911"/>
      <c r="M36" s="912"/>
      <c r="N36" s="2024"/>
    </row>
    <row r="37" spans="1:16" ht="21.95" customHeight="1">
      <c r="A37" s="2390"/>
      <c r="B37" s="916" t="str">
        <f>+B34</f>
        <v>Aspaltic Concreat</v>
      </c>
      <c r="C37" s="2390" t="s">
        <v>647</v>
      </c>
      <c r="D37" s="917" t="str">
        <f>+D34</f>
        <v>Aspaltic Concreat</v>
      </c>
      <c r="E37" s="921">
        <f>+E34</f>
        <v>1523</v>
      </c>
      <c r="F37" s="921" t="str">
        <f>+F36</f>
        <v>ตร.ม.</v>
      </c>
      <c r="G37" s="921">
        <f>+G34</f>
        <v>412</v>
      </c>
      <c r="H37" s="919">
        <f>+E37*G37</f>
        <v>627476</v>
      </c>
      <c r="I37" s="900">
        <f>+ROUNDDOWN(H37*0.9,-3)</f>
        <v>564000</v>
      </c>
      <c r="J37" s="919">
        <f>+H37-I37</f>
        <v>63476</v>
      </c>
      <c r="K37" s="910"/>
      <c r="L37" s="911"/>
      <c r="M37" s="912"/>
    </row>
    <row r="38" spans="1:16" ht="21.95" customHeight="1" thickBot="1">
      <c r="A38" s="2390"/>
      <c r="B38" s="2390"/>
      <c r="C38" s="2390"/>
      <c r="D38" s="749"/>
      <c r="E38" s="2503" t="s">
        <v>28</v>
      </c>
      <c r="F38" s="2504"/>
      <c r="G38" s="2505"/>
      <c r="H38" s="907">
        <f>SUM(H36:H37)</f>
        <v>693574.2</v>
      </c>
      <c r="I38" s="908">
        <f>SUM(I36:I37)</f>
        <v>623000</v>
      </c>
      <c r="J38" s="909">
        <f>SUM(J36:J37)</f>
        <v>70574.2</v>
      </c>
      <c r="K38" s="910">
        <f>+I38/$H$60*100</f>
        <v>7.9381298843947086</v>
      </c>
      <c r="L38" s="911">
        <f>+L35+10</f>
        <v>130</v>
      </c>
      <c r="M38" s="912"/>
    </row>
    <row r="39" spans="1:16" ht="21.95" customHeight="1" thickTop="1">
      <c r="A39" s="2390">
        <f>+A36+1</f>
        <v>12</v>
      </c>
      <c r="B39" s="2390" t="str">
        <f>+B36</f>
        <v>งาน Prime Coat</v>
      </c>
      <c r="C39" s="2390" t="s">
        <v>647</v>
      </c>
      <c r="D39" s="925" t="str">
        <f>+D36</f>
        <v>งาน Prime Coat</v>
      </c>
      <c r="E39" s="913">
        <f>+N18-E18-E21-E24-E27-E30-E33-E36</f>
        <v>1523</v>
      </c>
      <c r="F39" s="913" t="s">
        <v>31</v>
      </c>
      <c r="G39" s="918">
        <f>+G36</f>
        <v>43.4</v>
      </c>
      <c r="H39" s="919">
        <f>+E39*G39</f>
        <v>66098.2</v>
      </c>
      <c r="I39" s="900">
        <f>+ROUNDDOWN(H39*0.9,-3)</f>
        <v>59000</v>
      </c>
      <c r="J39" s="919">
        <f>+H39-I39</f>
        <v>7098.1999999999971</v>
      </c>
      <c r="K39" s="910"/>
      <c r="L39" s="911"/>
      <c r="M39" s="912"/>
    </row>
    <row r="40" spans="1:16" ht="21.95" customHeight="1">
      <c r="A40" s="2390"/>
      <c r="B40" s="916" t="str">
        <f>+B37</f>
        <v>Aspaltic Concreat</v>
      </c>
      <c r="C40" s="2390" t="s">
        <v>647</v>
      </c>
      <c r="D40" s="917" t="str">
        <f>+D37</f>
        <v>Aspaltic Concreat</v>
      </c>
      <c r="E40" s="921">
        <f>+E39</f>
        <v>1523</v>
      </c>
      <c r="F40" s="921" t="str">
        <f>+F39</f>
        <v>ตร.ม.</v>
      </c>
      <c r="G40" s="921">
        <f>+G37</f>
        <v>412</v>
      </c>
      <c r="H40" s="919">
        <f>+E40*G40</f>
        <v>627476</v>
      </c>
      <c r="I40" s="900">
        <f>+ROUNDDOWN(H40*0.9,-3)</f>
        <v>564000</v>
      </c>
      <c r="J40" s="919">
        <f>+H40-I40</f>
        <v>63476</v>
      </c>
      <c r="K40" s="910"/>
      <c r="L40" s="911"/>
      <c r="M40" s="912"/>
    </row>
    <row r="41" spans="1:16" ht="21.95" customHeight="1" thickBot="1">
      <c r="A41" s="2390"/>
      <c r="B41" s="2390"/>
      <c r="C41" s="2390"/>
      <c r="D41" s="749"/>
      <c r="E41" s="2503" t="s">
        <v>28</v>
      </c>
      <c r="F41" s="2504"/>
      <c r="G41" s="2505"/>
      <c r="H41" s="907">
        <f>SUM(H39:H40)</f>
        <v>693574.2</v>
      </c>
      <c r="I41" s="908">
        <f>SUM(I39:I40)</f>
        <v>623000</v>
      </c>
      <c r="J41" s="909">
        <f>SUM(J39:J40)</f>
        <v>70574.2</v>
      </c>
      <c r="K41" s="910">
        <f>+I41/$H$60*100</f>
        <v>7.9381298843947086</v>
      </c>
      <c r="L41" s="911">
        <v>110</v>
      </c>
      <c r="M41" s="912"/>
    </row>
    <row r="42" spans="1:16" ht="21.95" customHeight="1" thickTop="1">
      <c r="A42" s="740">
        <f>+A39+1</f>
        <v>13</v>
      </c>
      <c r="B42" s="740" t="str">
        <f>+B6</f>
        <v>งานดิน</v>
      </c>
      <c r="C42" s="740" t="str">
        <f>+C6</f>
        <v>ได้</v>
      </c>
      <c r="D42" s="749" t="str">
        <f>+D6</f>
        <v>งานขุดรื้อพื้นทางหินคลุกเดิมแล้วบดทับ</v>
      </c>
      <c r="E42" s="2514" t="s">
        <v>228</v>
      </c>
      <c r="F42" s="2515"/>
      <c r="G42" s="2516"/>
      <c r="H42" s="1285"/>
      <c r="I42" s="2520">
        <f>SUM(J42:J44)</f>
        <v>239021.20000000007</v>
      </c>
      <c r="J42" s="1286">
        <f>+J6+J9+J15+J12</f>
        <v>24680</v>
      </c>
      <c r="K42" s="910"/>
      <c r="L42" s="911"/>
      <c r="M42" s="912"/>
      <c r="N42" s="172"/>
      <c r="P42" s="172"/>
    </row>
    <row r="43" spans="1:16" ht="21.95" customHeight="1">
      <c r="A43" s="2017" t="s">
        <v>508</v>
      </c>
      <c r="B43" s="2017"/>
      <c r="C43" s="2017"/>
      <c r="D43" s="749" t="str">
        <f>+D7</f>
        <v>หินคลุกบดอัดแน่น</v>
      </c>
      <c r="E43" s="2517" t="s">
        <v>228</v>
      </c>
      <c r="F43" s="2518"/>
      <c r="G43" s="2519"/>
      <c r="H43" s="1285"/>
      <c r="I43" s="2521"/>
      <c r="J43" s="1286">
        <f>+J7+J10+J16+J13</f>
        <v>194945.20000000007</v>
      </c>
      <c r="K43" s="910"/>
      <c r="L43" s="911"/>
      <c r="M43" s="912"/>
      <c r="N43" s="172"/>
      <c r="P43" s="172"/>
    </row>
    <row r="44" spans="1:16" ht="21.95" customHeight="1">
      <c r="A44" s="2390"/>
      <c r="B44" s="2390"/>
      <c r="C44" s="2390"/>
      <c r="D44" s="1287" t="str">
        <f>+ปร.4_Roads!C18</f>
        <v>Deep  Patch</v>
      </c>
      <c r="E44" s="2517" t="s">
        <v>228</v>
      </c>
      <c r="F44" s="2518"/>
      <c r="G44" s="2519"/>
      <c r="H44" s="1285"/>
      <c r="I44" s="2521"/>
      <c r="J44" s="1286">
        <f>+ปร.4_Roads!M18</f>
        <v>19396</v>
      </c>
      <c r="K44" s="910"/>
      <c r="L44" s="911"/>
      <c r="M44" s="912"/>
      <c r="N44" s="172"/>
      <c r="P44" s="172"/>
    </row>
    <row r="45" spans="1:16" ht="21.95" customHeight="1">
      <c r="A45" s="2021"/>
      <c r="B45" s="2021"/>
      <c r="C45" s="2021"/>
      <c r="D45" s="1287" t="str">
        <f>+D18</f>
        <v>งาน Prime Coat</v>
      </c>
      <c r="E45" s="2517" t="s">
        <v>228</v>
      </c>
      <c r="F45" s="2518"/>
      <c r="G45" s="2519"/>
      <c r="H45" s="1285"/>
      <c r="I45" s="2397"/>
      <c r="J45" s="1286">
        <f>+J18+J21+J24+J27+J30+J33+J36+J39</f>
        <v>56785.599999999977</v>
      </c>
      <c r="K45" s="910"/>
      <c r="L45" s="911"/>
      <c r="M45" s="912"/>
      <c r="N45" s="172"/>
      <c r="P45" s="172"/>
    </row>
    <row r="46" spans="1:16" ht="21.95" customHeight="1">
      <c r="A46" s="2135"/>
      <c r="B46" s="2135"/>
      <c r="C46" s="2135"/>
      <c r="D46" s="1287" t="str">
        <f>+D19</f>
        <v>Aspaltic Concreat</v>
      </c>
      <c r="E46" s="2517" t="s">
        <v>228</v>
      </c>
      <c r="F46" s="2518"/>
      <c r="G46" s="2519"/>
      <c r="H46" s="1285"/>
      <c r="I46" s="2150"/>
      <c r="J46" s="2398">
        <f>+J19+J22+J25+J28+J31+J34+J37+J40</f>
        <v>507808</v>
      </c>
      <c r="K46" s="910"/>
      <c r="L46" s="911"/>
      <c r="M46" s="912"/>
      <c r="N46" s="172"/>
      <c r="P46" s="172"/>
    </row>
    <row r="47" spans="1:16" ht="21.95" customHeight="1">
      <c r="A47" s="740"/>
      <c r="B47" s="740" t="s">
        <v>507</v>
      </c>
      <c r="C47" s="926" t="s">
        <v>648</v>
      </c>
      <c r="D47" s="927" t="s">
        <v>229</v>
      </c>
      <c r="E47" s="922"/>
      <c r="F47" s="928"/>
      <c r="G47" s="923"/>
      <c r="H47" s="919"/>
      <c r="I47" s="919"/>
      <c r="J47" s="920"/>
      <c r="K47" s="914"/>
      <c r="L47" s="911"/>
      <c r="M47" s="912"/>
      <c r="P47" s="172"/>
    </row>
    <row r="48" spans="1:16" ht="21.95" customHeight="1">
      <c r="A48" s="740"/>
      <c r="B48" s="740"/>
      <c r="C48" s="740"/>
      <c r="D48" s="896" t="str">
        <f>+ปร.4_Roads!C35</f>
        <v>สีเทอร์โมพลาสติก เส้นกว้าง 0.10 ม.( 3 เส้น)</v>
      </c>
      <c r="E48" s="930">
        <f>+ปร.4_Roads!E35</f>
        <v>245</v>
      </c>
      <c r="F48" s="929" t="s">
        <v>31</v>
      </c>
      <c r="G48" s="930">
        <f>+ปร.4_Roads!L35</f>
        <v>396.3</v>
      </c>
      <c r="H48" s="919"/>
      <c r="I48" s="2511">
        <f>SUM(J48:J57)</f>
        <v>117581.3</v>
      </c>
      <c r="J48" s="920">
        <f>+G48*E48</f>
        <v>97093.5</v>
      </c>
      <c r="K48" s="914"/>
      <c r="L48" s="911"/>
      <c r="M48" s="912"/>
      <c r="N48" s="924"/>
      <c r="P48" s="172"/>
    </row>
    <row r="49" spans="1:16" ht="21.95" customHeight="1">
      <c r="A49" s="1970"/>
      <c r="B49" s="1970"/>
      <c r="C49" s="1970"/>
      <c r="D49" s="896" t="str">
        <f>+ปร.4_Roads!C37</f>
        <v>Rumble Strip</v>
      </c>
      <c r="E49" s="930">
        <f>+ปร.4_Roads!E37</f>
        <v>0</v>
      </c>
      <c r="F49" s="929" t="s">
        <v>31</v>
      </c>
      <c r="G49" s="930">
        <f>+ปร.4_Roads!L37</f>
        <v>0</v>
      </c>
      <c r="H49" s="919"/>
      <c r="I49" s="2512"/>
      <c r="J49" s="920">
        <f t="shared" ref="J49" si="6">+G49*E49</f>
        <v>0</v>
      </c>
      <c r="K49" s="914"/>
      <c r="L49" s="911"/>
      <c r="M49" s="912"/>
      <c r="N49" s="924"/>
      <c r="P49" s="172"/>
    </row>
    <row r="50" spans="1:16" ht="21.95" customHeight="1">
      <c r="A50" s="2017"/>
      <c r="B50" s="2017"/>
      <c r="C50" s="2017"/>
      <c r="D50" s="1011" t="s">
        <v>1944</v>
      </c>
      <c r="E50" s="932"/>
      <c r="F50" s="932"/>
      <c r="G50" s="930"/>
      <c r="H50" s="919"/>
      <c r="I50" s="2512"/>
      <c r="J50" s="920"/>
      <c r="K50" s="914"/>
      <c r="L50" s="911"/>
      <c r="M50" s="912"/>
      <c r="N50" s="924"/>
      <c r="P50" s="172"/>
    </row>
    <row r="51" spans="1:16" ht="21.95" customHeight="1">
      <c r="A51" s="740"/>
      <c r="B51" s="740"/>
      <c r="C51" s="740"/>
      <c r="D51" s="931" t="str">
        <f>+ปร.4_Roads!D54</f>
        <v>ป้ายจราจรแบบ ต 1 - ต 27,ต 31 - ต 60,ต 75</v>
      </c>
      <c r="E51" s="932">
        <f>+ปร.4_Roads!E54</f>
        <v>0</v>
      </c>
      <c r="F51" s="932" t="str">
        <f>+ปร.4_Roads!F51</f>
        <v>ชุด</v>
      </c>
      <c r="G51" s="930">
        <f>+ปร.4_Roads!L54</f>
        <v>0</v>
      </c>
      <c r="H51" s="919"/>
      <c r="I51" s="2512"/>
      <c r="J51" s="920">
        <f t="shared" ref="J51:J58" si="7">+G51*E51</f>
        <v>0</v>
      </c>
      <c r="K51" s="914"/>
      <c r="L51" s="911"/>
      <c r="M51" s="912"/>
      <c r="N51" s="924"/>
      <c r="P51" s="172"/>
    </row>
    <row r="52" spans="1:16" ht="21.95" customHeight="1">
      <c r="A52" s="2027"/>
      <c r="B52" s="2027"/>
      <c r="C52" s="2027"/>
      <c r="D52" s="931" t="str">
        <f>+ปร.4_Roads!D77</f>
        <v>ป้ายจราจรแบบ น 1</v>
      </c>
      <c r="E52" s="932">
        <f>+ปร.4_Roads!E77</f>
        <v>0</v>
      </c>
      <c r="F52" s="932" t="str">
        <f>+ปร.4_Roads!F47</f>
        <v>ชุด</v>
      </c>
      <c r="G52" s="930">
        <f>+ปร.4_Roads!L77</f>
        <v>0</v>
      </c>
      <c r="H52" s="919"/>
      <c r="I52" s="2512"/>
      <c r="J52" s="920">
        <f t="shared" si="7"/>
        <v>0</v>
      </c>
      <c r="K52" s="914"/>
      <c r="L52" s="911"/>
      <c r="M52" s="912"/>
      <c r="N52" s="924"/>
      <c r="P52" s="172"/>
    </row>
    <row r="53" spans="1:16" ht="21.95" customHeight="1">
      <c r="A53" s="2151"/>
      <c r="B53" s="2151"/>
      <c r="C53" s="2151"/>
      <c r="D53" s="931" t="str">
        <f>+ปร.4_Roads!D113</f>
        <v>ป้าย กม. ขนาด   80 X 40  จร.121/56(หน้าเดียว)</v>
      </c>
      <c r="E53" s="932">
        <f>+ปร.4_Roads!E113</f>
        <v>1</v>
      </c>
      <c r="F53" s="932" t="str">
        <f>+ปร.4_Roads!F64</f>
        <v>ชุด</v>
      </c>
      <c r="G53" s="930">
        <f>+ปร.4_Roads!L113</f>
        <v>5292.8</v>
      </c>
      <c r="H53" s="919"/>
      <c r="I53" s="2512"/>
      <c r="J53" s="920">
        <f t="shared" si="7"/>
        <v>5292.8</v>
      </c>
      <c r="K53" s="914"/>
      <c r="L53" s="911"/>
      <c r="M53" s="912"/>
      <c r="N53" s="924"/>
      <c r="P53" s="172"/>
    </row>
    <row r="54" spans="1:16" ht="21.95" customHeight="1">
      <c r="A54" s="2027"/>
      <c r="B54" s="2027"/>
      <c r="C54" s="2027"/>
      <c r="D54" s="931" t="str">
        <f>+ปร.4_Roads!D111</f>
        <v>หลักนำโค้ง ค.ส.ล.</v>
      </c>
      <c r="E54" s="932">
        <f>+ปร.4_Roads!E111</f>
        <v>0</v>
      </c>
      <c r="F54" s="932" t="str">
        <f>+ปร.4_Roads!F51</f>
        <v>ชุด</v>
      </c>
      <c r="G54" s="930">
        <f>+ปร.4_Roads!L111</f>
        <v>0</v>
      </c>
      <c r="H54" s="919"/>
      <c r="I54" s="2512"/>
      <c r="J54" s="920">
        <f t="shared" si="7"/>
        <v>0</v>
      </c>
      <c r="K54" s="914"/>
      <c r="L54" s="911"/>
      <c r="M54" s="912"/>
      <c r="N54" s="924"/>
      <c r="P54" s="172"/>
    </row>
    <row r="55" spans="1:16" ht="21.95" customHeight="1">
      <c r="A55" s="2027"/>
      <c r="B55" s="2027"/>
      <c r="C55" s="2027"/>
      <c r="D55" s="931" t="str">
        <f>+ปร.4_Roads!D112</f>
        <v>หลักกิโลเมตร</v>
      </c>
      <c r="E55" s="932">
        <f>+ปร.4_Roads!E112</f>
        <v>0</v>
      </c>
      <c r="F55" s="932" t="str">
        <f>+ปร.4_Roads!F112</f>
        <v>หลัก</v>
      </c>
      <c r="G55" s="930">
        <f>+ปร.4_Roads!L112</f>
        <v>0</v>
      </c>
      <c r="H55" s="919"/>
      <c r="I55" s="2512"/>
      <c r="J55" s="920">
        <f t="shared" si="7"/>
        <v>0</v>
      </c>
      <c r="K55" s="914"/>
      <c r="L55" s="911"/>
      <c r="M55" s="912"/>
      <c r="N55" s="924"/>
      <c r="P55" s="172"/>
    </row>
    <row r="56" spans="1:16" ht="21.95" customHeight="1">
      <c r="A56" s="2021"/>
      <c r="B56" s="2021"/>
      <c r="C56" s="2021"/>
      <c r="D56" s="931" t="str">
        <f>+ปร.4_Roads!D130</f>
        <v>ค่าเช่าป้ายจราจรระหว่างการก่อสร้าง</v>
      </c>
      <c r="E56" s="932">
        <f>+ปร.4_Roads!E130</f>
        <v>1</v>
      </c>
      <c r="F56" s="932" t="str">
        <f>+ปร.4_Roads!F130</f>
        <v>โครงการ</v>
      </c>
      <c r="G56" s="930">
        <f>+ปร.4_Roads!L130</f>
        <v>15195</v>
      </c>
      <c r="H56" s="919"/>
      <c r="I56" s="2512"/>
      <c r="J56" s="920">
        <f t="shared" si="7"/>
        <v>15195</v>
      </c>
      <c r="K56" s="914"/>
      <c r="L56" s="911"/>
      <c r="M56" s="912"/>
      <c r="N56" s="924"/>
      <c r="P56" s="172"/>
    </row>
    <row r="57" spans="1:16" ht="21.95" customHeight="1">
      <c r="A57" s="740"/>
      <c r="B57" s="740"/>
      <c r="C57" s="740"/>
      <c r="D57" s="931" t="str">
        <f>+ปร.5_Roads!B20</f>
        <v>ประเภทงานทั่วไป</v>
      </c>
      <c r="E57" s="932">
        <v>1</v>
      </c>
      <c r="F57" s="932" t="s">
        <v>1211</v>
      </c>
      <c r="G57" s="930">
        <f>+ปร.5_Roads!I20</f>
        <v>0</v>
      </c>
      <c r="H57" s="919"/>
      <c r="I57" s="2512"/>
      <c r="J57" s="920">
        <f t="shared" si="7"/>
        <v>0</v>
      </c>
      <c r="K57" s="914"/>
      <c r="L57" s="911"/>
      <c r="M57" s="912"/>
      <c r="N57" s="924"/>
      <c r="P57" s="172"/>
    </row>
    <row r="58" spans="1:16" ht="21.95" customHeight="1">
      <c r="A58" s="2027"/>
      <c r="B58" s="2027"/>
      <c r="C58" s="2027"/>
      <c r="D58" s="931" t="str">
        <f>+ปร.4_Roads!D132</f>
        <v>ตัดหญ้าสองข้างทาง</v>
      </c>
      <c r="E58" s="932">
        <f>+ปร.4_Roads!E132</f>
        <v>0</v>
      </c>
      <c r="F58" s="932" t="str">
        <f>+ปร.4_Roads!F132</f>
        <v>ตร.ม.</v>
      </c>
      <c r="G58" s="930">
        <f>+ปร.4_Roads!L132</f>
        <v>0</v>
      </c>
      <c r="H58" s="2028"/>
      <c r="I58" s="2512"/>
      <c r="J58" s="920">
        <f t="shared" si="7"/>
        <v>0</v>
      </c>
      <c r="K58" s="914"/>
      <c r="L58" s="911"/>
      <c r="M58" s="912"/>
      <c r="N58" s="924"/>
      <c r="P58" s="172"/>
    </row>
    <row r="59" spans="1:16" ht="21.95" customHeight="1" thickBot="1">
      <c r="A59" s="740"/>
      <c r="B59" s="740"/>
      <c r="C59" s="740"/>
      <c r="D59" s="749"/>
      <c r="E59" s="2503" t="s">
        <v>28</v>
      </c>
      <c r="F59" s="2504"/>
      <c r="G59" s="2505"/>
      <c r="H59" s="907">
        <f>SUM(H48:H57)</f>
        <v>0</v>
      </c>
      <c r="I59" s="2513"/>
      <c r="J59" s="933">
        <f>SUM(J42:J58)</f>
        <v>921196.10000000009</v>
      </c>
      <c r="K59" s="910">
        <f>+J59/$H$60*100</f>
        <v>11.737679439482916</v>
      </c>
      <c r="L59" s="911">
        <v>120</v>
      </c>
      <c r="M59" s="912"/>
      <c r="P59" s="172"/>
    </row>
    <row r="60" spans="1:16" ht="21.95" customHeight="1" thickTop="1" thickBot="1">
      <c r="A60" s="171"/>
      <c r="B60" s="171"/>
      <c r="C60" s="562"/>
      <c r="D60" s="2508" t="str">
        <f>+"รวม  "&amp;A42&amp;"   งวด  เป็นเงินทั้งหมด"</f>
        <v>รวม  13   งวด  เป็นเงินทั้งหมด</v>
      </c>
      <c r="E60" s="2509"/>
      <c r="F60" s="2509"/>
      <c r="G60" s="2510"/>
      <c r="H60" s="934">
        <f>+J59+I32+I29+I26+I23+I20+I17+I14+I11+I8+I35+I38+I41</f>
        <v>7848196.0999999996</v>
      </c>
      <c r="I60" s="909"/>
      <c r="J60" s="909"/>
      <c r="K60" s="910">
        <f>SUM(K6:K59)</f>
        <v>100.00000000000003</v>
      </c>
      <c r="L60" s="911"/>
      <c r="M60" s="912"/>
      <c r="N60" s="172"/>
    </row>
    <row r="61" spans="1:16" ht="22.5" customHeight="1" thickTop="1">
      <c r="J61" s="936"/>
      <c r="L61" s="938"/>
      <c r="M61" s="938"/>
    </row>
    <row r="62" spans="1:16">
      <c r="A62" s="171"/>
      <c r="B62" s="171"/>
      <c r="C62" s="2018"/>
      <c r="D62" s="171" t="s">
        <v>232</v>
      </c>
      <c r="E62" s="171"/>
      <c r="F62" s="171"/>
      <c r="G62" s="171"/>
      <c r="H62" s="171"/>
      <c r="I62" s="171" t="s">
        <v>233</v>
      </c>
      <c r="J62" s="171"/>
      <c r="K62" s="939"/>
      <c r="L62" s="940"/>
      <c r="M62" s="940"/>
    </row>
    <row r="63" spans="1:16">
      <c r="A63" s="171"/>
      <c r="B63" s="171"/>
      <c r="C63" s="562"/>
      <c r="D63" s="562" t="str">
        <f>+ปร.5_Roads!H31</f>
        <v xml:space="preserve">( นายวัลลภ  มูสิกะเจริญ ) </v>
      </c>
      <c r="E63" s="171"/>
      <c r="F63" s="171"/>
      <c r="G63" s="171"/>
      <c r="H63" s="171"/>
      <c r="I63" s="2506" t="str">
        <f>+ปร.5_Roads!H39</f>
        <v xml:space="preserve">(  นายวโรภาส   แสงพายัพ  ) </v>
      </c>
      <c r="J63" s="2506"/>
      <c r="K63" s="2506"/>
      <c r="L63" s="940"/>
      <c r="M63" s="940"/>
    </row>
    <row r="64" spans="1:16">
      <c r="A64" s="171"/>
      <c r="B64" s="171"/>
      <c r="C64" s="562"/>
      <c r="D64" s="562" t="str">
        <f>+ปร.5_Roads!H32</f>
        <v>นายช่างโยธาชำนาญงาน</v>
      </c>
      <c r="E64" s="171"/>
      <c r="F64" s="171"/>
      <c r="G64" s="171"/>
      <c r="H64" s="173"/>
      <c r="I64" s="2506" t="str">
        <f>+ปร.5_Roads!H40</f>
        <v xml:space="preserve"> ผู้อำนวยการส่วนบูรณะ</v>
      </c>
      <c r="J64" s="2507"/>
      <c r="K64" s="2507"/>
      <c r="L64" s="940"/>
      <c r="M64" s="940"/>
    </row>
    <row r="65" spans="11:11">
      <c r="K65" s="890"/>
    </row>
  </sheetData>
  <mergeCells count="37">
    <mergeCell ref="E46:G46"/>
    <mergeCell ref="E44:G44"/>
    <mergeCell ref="E20:G20"/>
    <mergeCell ref="E23:G23"/>
    <mergeCell ref="E35:G35"/>
    <mergeCell ref="E38:G38"/>
    <mergeCell ref="E41:G41"/>
    <mergeCell ref="E8:G8"/>
    <mergeCell ref="I64:K64"/>
    <mergeCell ref="E17:G17"/>
    <mergeCell ref="E59:G59"/>
    <mergeCell ref="D60:G60"/>
    <mergeCell ref="I48:I59"/>
    <mergeCell ref="I63:K63"/>
    <mergeCell ref="E42:G42"/>
    <mergeCell ref="E43:G43"/>
    <mergeCell ref="E29:G29"/>
    <mergeCell ref="E32:G32"/>
    <mergeCell ref="E26:G26"/>
    <mergeCell ref="I42:I44"/>
    <mergeCell ref="E45:G45"/>
    <mergeCell ref="E11:G11"/>
    <mergeCell ref="E14:G14"/>
    <mergeCell ref="A1:L1"/>
    <mergeCell ref="A3:G3"/>
    <mergeCell ref="J3:K3"/>
    <mergeCell ref="I4:I5"/>
    <mergeCell ref="J4:J5"/>
    <mergeCell ref="A2:L2"/>
    <mergeCell ref="K4:K5"/>
    <mergeCell ref="L4:L5"/>
    <mergeCell ref="D4:D5"/>
    <mergeCell ref="H4:H5"/>
    <mergeCell ref="E4:E5"/>
    <mergeCell ref="B4:C4"/>
    <mergeCell ref="G4:G5"/>
    <mergeCell ref="F4:F5"/>
  </mergeCells>
  <phoneticPr fontId="0" type="noConversion"/>
  <pageMargins left="0.19685039370078741" right="0" top="0.39370078740157483" bottom="0" header="0.51181102362204722" footer="0.51181102362204722"/>
  <pageSetup paperSize="9" scale="70" orientation="portrait" blackAndWhite="1" horizontalDpi="300" verticalDpi="300" r:id="rId1"/>
  <headerFooter alignWithMargins="0"/>
  <rowBreaks count="1" manualBreakCount="1">
    <brk id="4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00B050"/>
  </sheetPr>
  <dimension ref="A1:V175"/>
  <sheetViews>
    <sheetView workbookViewId="0">
      <selection sqref="A1:Q1"/>
    </sheetView>
  </sheetViews>
  <sheetFormatPr defaultColWidth="9.140625" defaultRowHeight="20.25"/>
  <cols>
    <col min="1" max="1" width="9.85546875" style="1290" customWidth="1"/>
    <col min="2" max="2" width="4.140625" style="1290" customWidth="1"/>
    <col min="3" max="3" width="2.42578125" style="1291" customWidth="1"/>
    <col min="4" max="5" width="6.42578125" style="1290" customWidth="1"/>
    <col min="6" max="8" width="5.28515625" style="1290" customWidth="1"/>
    <col min="9" max="9" width="5.5703125" style="1290" customWidth="1"/>
    <col min="10" max="10" width="3.28515625" style="1290" customWidth="1"/>
    <col min="11" max="11" width="5.28515625" style="1290" customWidth="1"/>
    <col min="12" max="12" width="4.140625" style="1290" customWidth="1"/>
    <col min="13" max="13" width="3.85546875" style="1290" customWidth="1"/>
    <col min="14" max="14" width="5.28515625" style="1290" customWidth="1"/>
    <col min="15" max="15" width="4.140625" style="1290" customWidth="1"/>
    <col min="16" max="16" width="6.42578125" style="1290" customWidth="1"/>
    <col min="17" max="17" width="16" style="1290" customWidth="1"/>
    <col min="18" max="18" width="13.140625" style="1290" customWidth="1"/>
    <col min="19" max="19" width="20.5703125" style="1290" customWidth="1"/>
    <col min="20" max="21" width="6.42578125" style="1291" customWidth="1"/>
    <col min="22" max="22" width="9.140625" style="1291"/>
    <col min="23" max="25" width="9.140625" style="1290"/>
    <col min="26" max="26" width="6.7109375" style="1290" customWidth="1"/>
    <col min="27" max="16384" width="9.140625" style="1290"/>
  </cols>
  <sheetData>
    <row r="1" spans="1:17" ht="23.25">
      <c r="A1" s="2534" t="s">
        <v>1618</v>
      </c>
      <c r="B1" s="2534"/>
      <c r="C1" s="2534"/>
      <c r="D1" s="2534"/>
      <c r="E1" s="2534"/>
      <c r="F1" s="2534"/>
      <c r="G1" s="2534"/>
      <c r="H1" s="2534"/>
      <c r="I1" s="2534"/>
      <c r="J1" s="2534"/>
      <c r="K1" s="2534"/>
      <c r="L1" s="2534"/>
      <c r="M1" s="2534"/>
      <c r="N1" s="2534"/>
      <c r="O1" s="2534"/>
      <c r="P1" s="2534"/>
      <c r="Q1" s="2534"/>
    </row>
    <row r="3" spans="1:17">
      <c r="A3" s="1292" t="s">
        <v>1619</v>
      </c>
      <c r="B3" s="1292"/>
      <c r="C3" s="1293"/>
      <c r="D3" s="1290" t="s">
        <v>1858</v>
      </c>
    </row>
    <row r="4" spans="1:17">
      <c r="A4" s="1292" t="s">
        <v>362</v>
      </c>
      <c r="B4" s="1292"/>
      <c r="C4" s="1293"/>
      <c r="D4" s="1290" t="s">
        <v>1620</v>
      </c>
      <c r="E4" s="2526" t="str">
        <f>+แหล่งวัสดุ!C5</f>
        <v>ปน.4031</v>
      </c>
      <c r="F4" s="2526"/>
      <c r="G4" s="1291" t="str">
        <f>+แหล่งวัสดุ!F5</f>
        <v>แยกทางหลวงหมายเลข 4157-บ้านปาตา</v>
      </c>
      <c r="J4" s="1291"/>
      <c r="K4" s="1291"/>
      <c r="L4" s="1291"/>
      <c r="M4" s="1291"/>
    </row>
    <row r="5" spans="1:17">
      <c r="A5" s="1292" t="s">
        <v>1621</v>
      </c>
      <c r="B5" s="1292"/>
      <c r="C5" s="1293"/>
      <c r="D5" s="1290" t="str">
        <f>+แหล่งวัสดุ!C6</f>
        <v>อำเภอ  ปะนาเระ,ยะหริ่ง จังหวัด ปัตตานี</v>
      </c>
    </row>
    <row r="6" spans="1:17">
      <c r="A6" s="1292" t="s">
        <v>1622</v>
      </c>
      <c r="B6" s="1292"/>
      <c r="C6" s="1293"/>
      <c r="D6" s="1290" t="str">
        <f>+'NO DELETE'!AB34</f>
        <v xml:space="preserve">ซ่อมสร้างผิวทาง Asphaltic Concrete </v>
      </c>
    </row>
    <row r="7" spans="1:17">
      <c r="A7" s="1292"/>
      <c r="B7" s="1292"/>
      <c r="C7" s="1293"/>
      <c r="D7" s="1290" t="s">
        <v>1623</v>
      </c>
      <c r="F7" s="2527">
        <f>+ปร.5_Roads!I8</f>
        <v>6</v>
      </c>
      <c r="G7" s="2527"/>
      <c r="H7" s="1290" t="s">
        <v>1624</v>
      </c>
      <c r="I7" s="1290" t="s">
        <v>1625</v>
      </c>
      <c r="M7" s="2527" t="str">
        <f>+ปร.5_Roads!I9</f>
        <v>0.00 - 1.00</v>
      </c>
      <c r="N7" s="2528"/>
      <c r="O7" s="2528"/>
      <c r="P7" s="1290" t="s">
        <v>47</v>
      </c>
    </row>
    <row r="8" spans="1:17" s="1291" customFormat="1">
      <c r="A8" s="1293"/>
      <c r="B8" s="1293"/>
      <c r="C8" s="1293"/>
      <c r="D8" s="1291" t="s">
        <v>21</v>
      </c>
      <c r="F8" s="2529">
        <f>+ปร.5_Roads!E10</f>
        <v>1.5229999999999999</v>
      </c>
      <c r="G8" s="2529"/>
      <c r="H8" s="1290" t="s">
        <v>1626</v>
      </c>
      <c r="K8" s="1294"/>
      <c r="L8" s="1294"/>
    </row>
    <row r="9" spans="1:17">
      <c r="A9" s="1292" t="s">
        <v>1627</v>
      </c>
      <c r="B9" s="1292"/>
      <c r="C9" s="1293"/>
      <c r="D9" s="1305">
        <f>+งวดงาน!L59</f>
        <v>120</v>
      </c>
      <c r="E9" s="1290" t="s">
        <v>1628</v>
      </c>
    </row>
    <row r="10" spans="1:17">
      <c r="A10" s="1292" t="s">
        <v>1629</v>
      </c>
      <c r="B10" s="1292"/>
      <c r="C10" s="1293"/>
      <c r="D10" s="1295" t="s">
        <v>1630</v>
      </c>
      <c r="E10" s="1295"/>
      <c r="F10" s="2531">
        <f>+งวดงาน!H60</f>
        <v>7848196.0999999996</v>
      </c>
      <c r="G10" s="2531"/>
      <c r="H10" s="2531"/>
      <c r="I10" s="2531"/>
      <c r="J10" s="1290" t="s">
        <v>43</v>
      </c>
    </row>
    <row r="11" spans="1:17">
      <c r="A11" s="1292"/>
      <c r="B11" s="1292"/>
      <c r="C11" s="1293"/>
      <c r="D11" s="1292" t="str">
        <f>"(เงิน"&amp;BAHTTEXT(F10)&amp;")"</f>
        <v>(เงินเจ็ดล้านแปดแสนสี่หมื่นแปดพันหนึ่งร้อยเก้าสิบหกบาทสิบสตางค์)</v>
      </c>
      <c r="E11" s="1295"/>
      <c r="F11" s="1307"/>
      <c r="G11" s="1307"/>
      <c r="H11" s="1307"/>
    </row>
    <row r="12" spans="1:17">
      <c r="D12" s="1295" t="s">
        <v>1652</v>
      </c>
      <c r="E12" s="1295"/>
      <c r="F12" s="1295"/>
      <c r="G12" s="1295"/>
    </row>
    <row r="13" spans="1:17">
      <c r="D13" s="1295" t="s">
        <v>1653</v>
      </c>
      <c r="E13" s="1295"/>
      <c r="F13" s="1295"/>
      <c r="G13" s="1295"/>
    </row>
    <row r="14" spans="1:17">
      <c r="D14" s="1302">
        <f>+งวดงาน!A42</f>
        <v>13</v>
      </c>
      <c r="E14" s="1290" t="s">
        <v>1631</v>
      </c>
      <c r="F14" s="1295"/>
      <c r="G14" s="1295"/>
    </row>
    <row r="15" spans="1:17">
      <c r="D15" s="1295"/>
      <c r="E15" s="1295"/>
      <c r="F15" s="1295"/>
      <c r="G15" s="1295"/>
    </row>
    <row r="16" spans="1:17">
      <c r="D16" s="1296" t="s">
        <v>1632</v>
      </c>
      <c r="E16" s="1295"/>
      <c r="F16" s="1295"/>
      <c r="G16" s="1295"/>
    </row>
    <row r="17" spans="1:18">
      <c r="A17" s="1292" t="s">
        <v>1633</v>
      </c>
      <c r="B17" s="1297">
        <v>1</v>
      </c>
      <c r="C17" s="1298"/>
      <c r="D17" s="1295" t="s">
        <v>1630</v>
      </c>
      <c r="E17" s="1295"/>
      <c r="F17" s="2530" t="e">
        <f>+งวดงาน!#REF!</f>
        <v>#REF!</v>
      </c>
      <c r="G17" s="2530"/>
      <c r="H17" s="2530"/>
      <c r="I17" s="1290" t="e">
        <f>"บาท (เงิน"&amp;BAHTTEXT(F17)&amp;")"</f>
        <v>#REF!</v>
      </c>
    </row>
    <row r="18" spans="1:18" s="1291" customFormat="1">
      <c r="A18" s="1293"/>
      <c r="B18" s="1298"/>
      <c r="C18" s="1298"/>
      <c r="D18" s="1299" t="s">
        <v>1634</v>
      </c>
      <c r="E18" s="1299"/>
      <c r="F18" s="1300"/>
      <c r="G18" s="1300"/>
      <c r="H18" s="1300"/>
    </row>
    <row r="19" spans="1:18" s="1291" customFormat="1">
      <c r="A19" s="1293"/>
      <c r="B19" s="1298"/>
      <c r="C19" s="1298"/>
      <c r="D19" s="1303" t="s">
        <v>1938</v>
      </c>
      <c r="E19" s="1299"/>
      <c r="F19" s="1300"/>
      <c r="G19" s="1300"/>
      <c r="H19" s="1300"/>
    </row>
    <row r="20" spans="1:18" s="1291" customFormat="1">
      <c r="A20" s="1293"/>
      <c r="B20" s="1298"/>
      <c r="C20" s="1298"/>
      <c r="D20" s="1299" t="s">
        <v>1939</v>
      </c>
      <c r="E20" s="1299"/>
      <c r="F20" s="1300"/>
      <c r="G20" s="1300"/>
      <c r="H20" s="1300"/>
      <c r="O20" s="2525">
        <f>+งวดงาน!E6</f>
        <v>3000</v>
      </c>
      <c r="P20" s="2526"/>
      <c r="Q20" s="1291" t="s">
        <v>31</v>
      </c>
    </row>
    <row r="21" spans="1:18">
      <c r="D21" s="1295" t="s">
        <v>1636</v>
      </c>
      <c r="E21" s="1295"/>
      <c r="F21" s="1295"/>
      <c r="G21" s="1304" t="e">
        <f>+งวดงาน!#REF!</f>
        <v>#REF!</v>
      </c>
      <c r="H21" s="1295" t="s">
        <v>1637</v>
      </c>
      <c r="I21" s="1295"/>
      <c r="J21" s="1295"/>
      <c r="K21" s="1295"/>
      <c r="L21" s="1295"/>
      <c r="M21" s="1295"/>
      <c r="N21" s="1295"/>
      <c r="O21" s="1295"/>
      <c r="P21" s="1295"/>
    </row>
    <row r="22" spans="1:18">
      <c r="D22" s="1295"/>
      <c r="E22" s="1295"/>
      <c r="F22" s="1295"/>
      <c r="G22" s="1302"/>
      <c r="H22" s="1295"/>
      <c r="I22" s="1295"/>
      <c r="J22" s="1295"/>
      <c r="K22" s="1295"/>
      <c r="L22" s="1295"/>
      <c r="M22" s="1295"/>
      <c r="N22" s="1295"/>
      <c r="O22" s="1295"/>
      <c r="P22" s="1295"/>
    </row>
    <row r="23" spans="1:18">
      <c r="A23" s="1292" t="s">
        <v>1633</v>
      </c>
      <c r="B23" s="1297">
        <f>+B17+1</f>
        <v>2</v>
      </c>
      <c r="C23" s="1298"/>
      <c r="D23" s="1295" t="s">
        <v>1630</v>
      </c>
      <c r="E23" s="1295"/>
      <c r="F23" s="2530">
        <f>+งวดงาน!I8</f>
        <v>466000</v>
      </c>
      <c r="G23" s="2530"/>
      <c r="H23" s="2530"/>
      <c r="I23" s="1290" t="str">
        <f>"บาท (เงิน"&amp;BAHTTEXT(F23)&amp;")"</f>
        <v>บาท (เงินสี่แสนหกหมื่นหกพันบาทถ้วน)</v>
      </c>
    </row>
    <row r="24" spans="1:18" s="1291" customFormat="1">
      <c r="A24" s="1293"/>
      <c r="B24" s="1298"/>
      <c r="C24" s="1298"/>
      <c r="D24" s="1299" t="s">
        <v>1634</v>
      </c>
      <c r="E24" s="1299"/>
      <c r="F24" s="1300"/>
      <c r="G24" s="1300"/>
      <c r="H24" s="1300"/>
    </row>
    <row r="25" spans="1:18">
      <c r="D25" s="1295" t="s">
        <v>1635</v>
      </c>
      <c r="E25" s="1295"/>
      <c r="F25" s="1295"/>
      <c r="G25" s="1295"/>
      <c r="I25" s="1291"/>
      <c r="J25" s="1291"/>
      <c r="K25" s="1301"/>
      <c r="L25" s="1301"/>
      <c r="M25" s="1301"/>
      <c r="N25" s="1291"/>
    </row>
    <row r="26" spans="1:18" s="1291" customFormat="1">
      <c r="A26" s="1293"/>
      <c r="B26" s="1298"/>
      <c r="C26" s="1298"/>
      <c r="D26" s="1299" t="s">
        <v>1939</v>
      </c>
      <c r="E26" s="1299"/>
      <c r="F26" s="1300"/>
      <c r="G26" s="1300"/>
      <c r="H26" s="1300"/>
      <c r="O26" s="2525" t="e">
        <f>+งวดงาน!#REF!</f>
        <v>#REF!</v>
      </c>
      <c r="P26" s="2526"/>
      <c r="Q26" s="1291" t="s">
        <v>31</v>
      </c>
    </row>
    <row r="27" spans="1:18">
      <c r="D27" s="1295" t="s">
        <v>1636</v>
      </c>
      <c r="E27" s="1295"/>
      <c r="F27" s="1295"/>
      <c r="G27" s="1304">
        <f>+งวดงาน!L8</f>
        <v>30</v>
      </c>
      <c r="H27" s="1295" t="s">
        <v>1637</v>
      </c>
      <c r="I27" s="1295"/>
      <c r="J27" s="1295"/>
      <c r="K27" s="1295"/>
      <c r="L27" s="1295"/>
      <c r="M27" s="1295"/>
      <c r="N27" s="1295"/>
      <c r="O27" s="1295"/>
      <c r="P27" s="1295"/>
    </row>
    <row r="28" spans="1:18" ht="23.25">
      <c r="Q28"/>
      <c r="R28"/>
    </row>
    <row r="29" spans="1:18" ht="23.25">
      <c r="A29" s="1292" t="s">
        <v>1633</v>
      </c>
      <c r="B29" s="1297">
        <f>+B23+1</f>
        <v>3</v>
      </c>
      <c r="C29" s="1298"/>
      <c r="D29" s="1295" t="s">
        <v>1630</v>
      </c>
      <c r="E29" s="1295"/>
      <c r="F29" s="2530" t="e">
        <f>+งวดงาน!#REF!</f>
        <v>#REF!</v>
      </c>
      <c r="G29" s="2530"/>
      <c r="H29" s="2530"/>
      <c r="I29" s="1290" t="e">
        <f>"บาท (เงิน"&amp;BAHTTEXT(F29)&amp;")"</f>
        <v>#REF!</v>
      </c>
      <c r="Q29"/>
      <c r="R29"/>
    </row>
    <row r="30" spans="1:18" s="1291" customFormat="1" ht="23.25">
      <c r="A30" s="1293"/>
      <c r="B30" s="1298"/>
      <c r="C30" s="1298"/>
      <c r="D30" s="1299" t="s">
        <v>1634</v>
      </c>
      <c r="E30" s="1299"/>
      <c r="F30" s="1300"/>
      <c r="G30" s="1300"/>
      <c r="H30" s="1300"/>
      <c r="Q30"/>
      <c r="R30"/>
    </row>
    <row r="31" spans="1:18" ht="23.25">
      <c r="D31" s="1295" t="s">
        <v>1635</v>
      </c>
      <c r="E31" s="1295"/>
      <c r="F31" s="1295"/>
      <c r="G31" s="1295"/>
      <c r="I31" s="1291"/>
      <c r="J31" s="1291"/>
      <c r="K31" s="1301"/>
      <c r="L31" s="1301"/>
      <c r="M31" s="1301"/>
      <c r="N31" s="1291"/>
      <c r="Q31"/>
      <c r="R31"/>
    </row>
    <row r="32" spans="1:18" s="1291" customFormat="1">
      <c r="A32" s="1293"/>
      <c r="B32" s="1298"/>
      <c r="C32" s="1298"/>
      <c r="D32" s="1299" t="s">
        <v>1939</v>
      </c>
      <c r="E32" s="1299"/>
      <c r="F32" s="1300"/>
      <c r="G32" s="1300"/>
      <c r="H32" s="1300"/>
      <c r="O32" s="2525">
        <f>+งวดงาน!E9</f>
        <v>3000</v>
      </c>
      <c r="P32" s="2526"/>
      <c r="Q32" s="1291" t="s">
        <v>31</v>
      </c>
    </row>
    <row r="33" spans="1:18">
      <c r="D33" s="1295" t="s">
        <v>1636</v>
      </c>
      <c r="E33" s="1295"/>
      <c r="F33" s="1295"/>
      <c r="G33" s="1304" t="e">
        <f>+งวดงาน!#REF!</f>
        <v>#REF!</v>
      </c>
      <c r="H33" s="1295" t="s">
        <v>1637</v>
      </c>
      <c r="I33" s="1295"/>
      <c r="J33" s="1295"/>
      <c r="K33" s="1295"/>
      <c r="L33" s="1295"/>
      <c r="M33" s="1295"/>
      <c r="N33" s="1295"/>
      <c r="O33" s="1295"/>
      <c r="P33" s="1295"/>
    </row>
    <row r="35" spans="1:18" ht="23.25">
      <c r="A35" s="1292" t="s">
        <v>1633</v>
      </c>
      <c r="B35" s="1297">
        <f>+B29+1</f>
        <v>4</v>
      </c>
      <c r="C35" s="1298"/>
      <c r="D35" s="1295" t="s">
        <v>1630</v>
      </c>
      <c r="E35" s="1295"/>
      <c r="F35" s="2530">
        <f>+งวดงาน!I17</f>
        <v>545000</v>
      </c>
      <c r="G35" s="2530"/>
      <c r="H35" s="2530"/>
      <c r="I35" s="1290" t="str">
        <f>"บาท (เงิน"&amp;BAHTTEXT(F35)&amp;")"</f>
        <v>บาท (เงินห้าแสนสี่หมื่นห้าพันบาทถ้วน)</v>
      </c>
      <c r="Q35"/>
      <c r="R35"/>
    </row>
    <row r="36" spans="1:18" s="1291" customFormat="1" ht="23.25">
      <c r="A36" s="1293"/>
      <c r="B36" s="1298"/>
      <c r="C36" s="1298"/>
      <c r="D36" s="1299" t="s">
        <v>1634</v>
      </c>
      <c r="E36" s="1299"/>
      <c r="F36" s="1300"/>
      <c r="G36" s="1300"/>
      <c r="H36" s="1300"/>
      <c r="Q36"/>
      <c r="R36"/>
    </row>
    <row r="37" spans="1:18" ht="23.25">
      <c r="D37" s="1295" t="s">
        <v>1635</v>
      </c>
      <c r="E37" s="1295"/>
      <c r="F37" s="1295"/>
      <c r="G37" s="1295"/>
      <c r="I37" s="1291"/>
      <c r="J37" s="1291"/>
      <c r="K37" s="1301"/>
      <c r="L37" s="1301"/>
      <c r="M37" s="1301"/>
      <c r="N37" s="1291"/>
      <c r="Q37"/>
      <c r="R37"/>
    </row>
    <row r="38" spans="1:18" s="1291" customFormat="1">
      <c r="A38" s="1293"/>
      <c r="B38" s="1298"/>
      <c r="C38" s="1298"/>
      <c r="D38" s="1299" t="s">
        <v>1939</v>
      </c>
      <c r="E38" s="1299"/>
      <c r="F38" s="1300"/>
      <c r="G38" s="1300"/>
      <c r="H38" s="1300"/>
      <c r="O38" s="2525">
        <f>+งวดงาน!E15</f>
        <v>3184</v>
      </c>
      <c r="P38" s="2526"/>
      <c r="Q38" s="1291" t="s">
        <v>31</v>
      </c>
    </row>
    <row r="39" spans="1:18">
      <c r="D39" s="1295" t="s">
        <v>1636</v>
      </c>
      <c r="E39" s="1295"/>
      <c r="F39" s="1295"/>
      <c r="G39" s="1304">
        <f>+งวดงาน!L17</f>
        <v>60</v>
      </c>
      <c r="H39" s="1295" t="s">
        <v>1637</v>
      </c>
      <c r="I39" s="1295"/>
      <c r="J39" s="1295"/>
      <c r="K39" s="1295"/>
      <c r="L39" s="1295"/>
      <c r="M39" s="1295"/>
      <c r="N39" s="1295"/>
      <c r="O39" s="1295"/>
      <c r="P39" s="1295"/>
    </row>
    <row r="41" spans="1:18" ht="23.25">
      <c r="A41" s="1292" t="s">
        <v>1633</v>
      </c>
      <c r="B41" s="1297">
        <f>+B35+1</f>
        <v>5</v>
      </c>
      <c r="C41" s="1298"/>
      <c r="D41" s="1295" t="s">
        <v>1630</v>
      </c>
      <c r="E41" s="1295"/>
      <c r="F41" s="2530" t="e">
        <f>+งวดงาน!#REF!</f>
        <v>#REF!</v>
      </c>
      <c r="G41" s="2530"/>
      <c r="H41" s="2530"/>
      <c r="I41" s="1290" t="e">
        <f>"บาท (เงิน"&amp;BAHTTEXT(F41)&amp;")"</f>
        <v>#REF!</v>
      </c>
      <c r="Q41"/>
      <c r="R41"/>
    </row>
    <row r="42" spans="1:18" s="1291" customFormat="1" ht="23.25">
      <c r="A42" s="1293"/>
      <c r="B42" s="1298"/>
      <c r="C42" s="1298"/>
      <c r="D42" s="1299" t="s">
        <v>1634</v>
      </c>
      <c r="E42" s="1299"/>
      <c r="F42" s="1300"/>
      <c r="G42" s="1300"/>
      <c r="H42" s="1300"/>
      <c r="Q42"/>
      <c r="R42"/>
    </row>
    <row r="43" spans="1:18" ht="23.25">
      <c r="D43" s="1295" t="s">
        <v>1635</v>
      </c>
      <c r="E43" s="1295"/>
      <c r="F43" s="1295"/>
      <c r="G43" s="1295"/>
      <c r="I43" s="1291"/>
      <c r="J43" s="1291"/>
      <c r="K43" s="1301"/>
      <c r="L43" s="1301"/>
      <c r="M43" s="1301"/>
      <c r="N43" s="1291"/>
      <c r="Q43"/>
      <c r="R43"/>
    </row>
    <row r="44" spans="1:18" s="1291" customFormat="1">
      <c r="A44" s="1293"/>
      <c r="B44" s="1298"/>
      <c r="C44" s="1298"/>
      <c r="D44" s="1299" t="s">
        <v>1939</v>
      </c>
      <c r="E44" s="1299"/>
      <c r="F44" s="1300"/>
      <c r="G44" s="1300"/>
      <c r="H44" s="1300"/>
      <c r="O44" s="2525" t="e">
        <f>+งวดงาน!#REF!</f>
        <v>#REF!</v>
      </c>
      <c r="P44" s="2526"/>
      <c r="Q44" s="1291" t="s">
        <v>31</v>
      </c>
    </row>
    <row r="45" spans="1:18">
      <c r="D45" s="1295" t="s">
        <v>1636</v>
      </c>
      <c r="E45" s="1295"/>
      <c r="F45" s="1295"/>
      <c r="G45" s="1304" t="e">
        <f>+งวดงาน!#REF!</f>
        <v>#REF!</v>
      </c>
      <c r="H45" s="1295" t="s">
        <v>1637</v>
      </c>
      <c r="I45" s="1295"/>
      <c r="J45" s="1295"/>
      <c r="K45" s="1295"/>
      <c r="L45" s="1295"/>
      <c r="M45" s="1295"/>
      <c r="N45" s="1295"/>
      <c r="O45" s="1295"/>
      <c r="P45" s="1295"/>
    </row>
    <row r="47" spans="1:18">
      <c r="A47" s="1292" t="s">
        <v>1633</v>
      </c>
      <c r="B47" s="1297">
        <f>+B41+1</f>
        <v>6</v>
      </c>
      <c r="C47" s="1298"/>
      <c r="D47" s="1295" t="s">
        <v>1630</v>
      </c>
      <c r="E47" s="1295"/>
      <c r="F47" s="2530" t="e">
        <f>+F50+F53</f>
        <v>#REF!</v>
      </c>
      <c r="G47" s="2530"/>
      <c r="H47" s="2530"/>
      <c r="I47" s="1290" t="e">
        <f>"บาท (เงิน"&amp;BAHTTEXT(F47)&amp;")"</f>
        <v>#REF!</v>
      </c>
    </row>
    <row r="48" spans="1:18" s="1291" customFormat="1">
      <c r="A48" s="1293"/>
      <c r="B48" s="1298"/>
      <c r="C48" s="1298"/>
      <c r="D48" s="1299" t="s">
        <v>1634</v>
      </c>
      <c r="E48" s="1299"/>
      <c r="F48" s="1300"/>
      <c r="G48" s="1300"/>
      <c r="H48" s="1300"/>
    </row>
    <row r="49" spans="1:22">
      <c r="D49" s="1303" t="s">
        <v>1638</v>
      </c>
      <c r="E49" s="1295"/>
      <c r="F49" s="1295"/>
      <c r="G49" s="1295"/>
    </row>
    <row r="50" spans="1:22">
      <c r="D50" s="2532" t="s">
        <v>1639</v>
      </c>
      <c r="E50" s="2532"/>
      <c r="F50" s="2530" t="e">
        <f>+งวดงาน!#REF!</f>
        <v>#REF!</v>
      </c>
      <c r="G50" s="2530"/>
      <c r="H50" s="2530"/>
      <c r="I50" s="1290" t="e">
        <f>"บาท (เงิน"&amp;BAHTTEXT(F50)&amp;")"</f>
        <v>#REF!</v>
      </c>
      <c r="T50" s="1300"/>
      <c r="U50" s="1300"/>
      <c r="V50" s="1300"/>
    </row>
    <row r="51" spans="1:22">
      <c r="D51" s="1295" t="s">
        <v>1640</v>
      </c>
      <c r="E51" s="1295"/>
      <c r="F51" s="1295"/>
      <c r="G51" s="1295"/>
      <c r="J51" s="2533" t="e">
        <f>+งวดงาน!#REF!</f>
        <v>#REF!</v>
      </c>
      <c r="K51" s="2533"/>
      <c r="L51" s="1290" t="s">
        <v>260</v>
      </c>
    </row>
    <row r="52" spans="1:22">
      <c r="D52" s="1303" t="s">
        <v>1641</v>
      </c>
      <c r="E52" s="1295"/>
      <c r="F52" s="1295"/>
      <c r="G52" s="1295"/>
    </row>
    <row r="53" spans="1:22">
      <c r="D53" s="2532" t="s">
        <v>1639</v>
      </c>
      <c r="E53" s="2532"/>
      <c r="F53" s="2530" t="e">
        <f>+งวดงาน!#REF!</f>
        <v>#REF!</v>
      </c>
      <c r="G53" s="2530"/>
      <c r="H53" s="2530"/>
      <c r="I53" s="1290" t="e">
        <f>"บาท (เงิน"&amp;BAHTTEXT(F53)&amp;")"</f>
        <v>#REF!</v>
      </c>
      <c r="J53" s="1291"/>
      <c r="K53" s="1300"/>
      <c r="L53" s="1300"/>
    </row>
    <row r="54" spans="1:22">
      <c r="D54" s="1295" t="s">
        <v>1642</v>
      </c>
      <c r="E54" s="1295"/>
      <c r="F54" s="1295"/>
      <c r="G54" s="1295"/>
      <c r="J54" s="1300"/>
      <c r="K54" s="1300"/>
      <c r="L54" s="2533" t="e">
        <f>+งวดงาน!#REF!</f>
        <v>#REF!</v>
      </c>
      <c r="M54" s="2533"/>
      <c r="N54" s="1290" t="s">
        <v>260</v>
      </c>
    </row>
    <row r="55" spans="1:22">
      <c r="D55" s="1295" t="s">
        <v>1636</v>
      </c>
      <c r="E55" s="1295"/>
      <c r="F55" s="1295"/>
      <c r="G55" s="1304" t="e">
        <f>+งวดงาน!#REF!</f>
        <v>#REF!</v>
      </c>
      <c r="H55" s="1295" t="s">
        <v>1637</v>
      </c>
      <c r="I55" s="1295"/>
      <c r="J55" s="1295"/>
      <c r="K55" s="1295"/>
      <c r="L55" s="1295"/>
      <c r="M55" s="1295"/>
      <c r="N55" s="1295"/>
      <c r="O55" s="1295"/>
      <c r="P55" s="1295"/>
    </row>
    <row r="57" spans="1:22">
      <c r="A57" s="1292" t="s">
        <v>1633</v>
      </c>
      <c r="B57" s="1297">
        <f>+B47+1</f>
        <v>7</v>
      </c>
      <c r="C57" s="1298"/>
      <c r="D57" s="1295" t="s">
        <v>1630</v>
      </c>
      <c r="E57" s="1295"/>
      <c r="F57" s="2530" t="e">
        <f>+F60+F63</f>
        <v>#REF!</v>
      </c>
      <c r="G57" s="2530"/>
      <c r="H57" s="2530"/>
      <c r="I57" s="1290" t="e">
        <f>"บาท (เงิน"&amp;BAHTTEXT(F57)&amp;")"</f>
        <v>#REF!</v>
      </c>
    </row>
    <row r="58" spans="1:22" s="1291" customFormat="1">
      <c r="A58" s="1293"/>
      <c r="B58" s="1298"/>
      <c r="C58" s="1298"/>
      <c r="D58" s="1299" t="s">
        <v>1634</v>
      </c>
      <c r="E58" s="1299"/>
      <c r="F58" s="1300"/>
      <c r="G58" s="1300"/>
      <c r="H58" s="1300"/>
    </row>
    <row r="59" spans="1:22">
      <c r="D59" s="1303" t="s">
        <v>1638</v>
      </c>
      <c r="E59" s="1295"/>
      <c r="F59" s="1295"/>
      <c r="G59" s="1295"/>
    </row>
    <row r="60" spans="1:22">
      <c r="D60" s="2532" t="s">
        <v>1639</v>
      </c>
      <c r="E60" s="2532"/>
      <c r="F60" s="2530" t="e">
        <f>+งวดงาน!#REF!</f>
        <v>#REF!</v>
      </c>
      <c r="G60" s="2530"/>
      <c r="H60" s="2530"/>
      <c r="I60" s="1290" t="e">
        <f>"บาท (เงิน"&amp;BAHTTEXT(F60)&amp;")"</f>
        <v>#REF!</v>
      </c>
      <c r="T60" s="1300"/>
      <c r="U60" s="1300"/>
      <c r="V60" s="1300"/>
    </row>
    <row r="61" spans="1:22">
      <c r="D61" s="1295" t="s">
        <v>1640</v>
      </c>
      <c r="E61" s="1295"/>
      <c r="F61" s="1295"/>
      <c r="G61" s="1295"/>
      <c r="J61" s="2533" t="e">
        <f>+งวดงาน!#REF!</f>
        <v>#REF!</v>
      </c>
      <c r="K61" s="2533"/>
      <c r="L61" s="1290" t="s">
        <v>260</v>
      </c>
    </row>
    <row r="62" spans="1:22">
      <c r="D62" s="1303" t="s">
        <v>1641</v>
      </c>
      <c r="E62" s="1295"/>
      <c r="F62" s="1295"/>
      <c r="G62" s="1295"/>
    </row>
    <row r="63" spans="1:22">
      <c r="D63" s="2532" t="s">
        <v>1639</v>
      </c>
      <c r="E63" s="2532"/>
      <c r="F63" s="2530" t="e">
        <f>+งวดงาน!#REF!</f>
        <v>#REF!</v>
      </c>
      <c r="G63" s="2530"/>
      <c r="H63" s="2530"/>
      <c r="I63" s="1290" t="e">
        <f>"บาท (เงิน"&amp;BAHTTEXT(F63)&amp;")"</f>
        <v>#REF!</v>
      </c>
      <c r="J63" s="1291"/>
      <c r="K63" s="1300"/>
      <c r="L63" s="1300"/>
    </row>
    <row r="64" spans="1:22">
      <c r="D64" s="1295" t="s">
        <v>1642</v>
      </c>
      <c r="E64" s="1295"/>
      <c r="F64" s="1295"/>
      <c r="G64" s="1295"/>
      <c r="J64" s="1300"/>
      <c r="K64" s="1300"/>
      <c r="L64" s="2533" t="e">
        <f>+งวดงาน!#REF!</f>
        <v>#REF!</v>
      </c>
      <c r="M64" s="2533"/>
      <c r="N64" s="1290" t="s">
        <v>260</v>
      </c>
    </row>
    <row r="65" spans="1:22">
      <c r="D65" s="1295" t="s">
        <v>1636</v>
      </c>
      <c r="E65" s="1295"/>
      <c r="F65" s="1295"/>
      <c r="G65" s="1304" t="e">
        <f>+งวดงาน!#REF!</f>
        <v>#REF!</v>
      </c>
      <c r="H65" s="1295" t="s">
        <v>1637</v>
      </c>
      <c r="I65" s="1295"/>
      <c r="J65" s="1295"/>
      <c r="K65" s="1295"/>
      <c r="L65" s="1295"/>
      <c r="M65" s="1295"/>
      <c r="N65" s="1295"/>
      <c r="O65" s="1295"/>
      <c r="P65" s="1295"/>
    </row>
    <row r="67" spans="1:22">
      <c r="A67" s="1292" t="s">
        <v>1633</v>
      </c>
      <c r="B67" s="1297">
        <f>+B57+1</f>
        <v>8</v>
      </c>
      <c r="C67" s="1298"/>
      <c r="D67" s="1295" t="s">
        <v>1630</v>
      </c>
      <c r="E67" s="1295"/>
      <c r="F67" s="2530" t="e">
        <f>+F70+F73</f>
        <v>#REF!</v>
      </c>
      <c r="G67" s="2530"/>
      <c r="H67" s="2530"/>
      <c r="I67" s="1290" t="e">
        <f>"บาท (เงิน"&amp;BAHTTEXT(F67)&amp;")"</f>
        <v>#REF!</v>
      </c>
    </row>
    <row r="68" spans="1:22" s="1291" customFormat="1">
      <c r="A68" s="1293"/>
      <c r="B68" s="1298"/>
      <c r="C68" s="1298"/>
      <c r="D68" s="1299" t="s">
        <v>1634</v>
      </c>
      <c r="E68" s="1299"/>
      <c r="F68" s="1300"/>
      <c r="G68" s="1300"/>
      <c r="H68" s="1300"/>
    </row>
    <row r="69" spans="1:22">
      <c r="D69" s="1303" t="s">
        <v>1638</v>
      </c>
      <c r="E69" s="1295"/>
      <c r="F69" s="1295"/>
      <c r="G69" s="1295"/>
    </row>
    <row r="70" spans="1:22">
      <c r="D70" s="2532" t="s">
        <v>1639</v>
      </c>
      <c r="E70" s="2532"/>
      <c r="F70" s="2530" t="e">
        <f>+งวดงาน!#REF!</f>
        <v>#REF!</v>
      </c>
      <c r="G70" s="2530"/>
      <c r="H70" s="2530"/>
      <c r="I70" s="1290" t="e">
        <f>"บาท (เงิน"&amp;BAHTTEXT(F70)&amp;")"</f>
        <v>#REF!</v>
      </c>
      <c r="T70" s="1300"/>
      <c r="U70" s="1300"/>
      <c r="V70" s="1300"/>
    </row>
    <row r="71" spans="1:22">
      <c r="D71" s="1295" t="s">
        <v>1640</v>
      </c>
      <c r="E71" s="1295"/>
      <c r="F71" s="1295"/>
      <c r="G71" s="1295"/>
      <c r="J71" s="2533" t="e">
        <f>+งวดงาน!#REF!</f>
        <v>#REF!</v>
      </c>
      <c r="K71" s="2533"/>
      <c r="L71" s="1290" t="s">
        <v>260</v>
      </c>
    </row>
    <row r="72" spans="1:22">
      <c r="D72" s="1303" t="s">
        <v>1641</v>
      </c>
      <c r="E72" s="1295"/>
      <c r="F72" s="1295"/>
      <c r="G72" s="1295"/>
    </row>
    <row r="73" spans="1:22">
      <c r="D73" s="2532" t="s">
        <v>1639</v>
      </c>
      <c r="E73" s="2532"/>
      <c r="F73" s="2530" t="e">
        <f>+งวดงาน!#REF!</f>
        <v>#REF!</v>
      </c>
      <c r="G73" s="2530"/>
      <c r="H73" s="2530"/>
      <c r="I73" s="1290" t="e">
        <f>"บาท (เงิน"&amp;BAHTTEXT(F73)&amp;")"</f>
        <v>#REF!</v>
      </c>
      <c r="J73" s="1291"/>
      <c r="K73" s="1300"/>
      <c r="L73" s="1300"/>
    </row>
    <row r="74" spans="1:22">
      <c r="D74" s="1295" t="s">
        <v>1642</v>
      </c>
      <c r="E74" s="1295"/>
      <c r="F74" s="1295"/>
      <c r="G74" s="1295"/>
      <c r="J74" s="1300"/>
      <c r="K74" s="1300"/>
      <c r="L74" s="2533" t="e">
        <f>+งวดงาน!#REF!</f>
        <v>#REF!</v>
      </c>
      <c r="M74" s="2533"/>
      <c r="N74" s="1290" t="s">
        <v>260</v>
      </c>
    </row>
    <row r="75" spans="1:22">
      <c r="D75" s="1295" t="s">
        <v>1636</v>
      </c>
      <c r="E75" s="1295"/>
      <c r="F75" s="1295"/>
      <c r="G75" s="1304" t="e">
        <f>+งวดงาน!#REF!</f>
        <v>#REF!</v>
      </c>
      <c r="H75" s="1295" t="s">
        <v>1637</v>
      </c>
      <c r="I75" s="1295"/>
      <c r="J75" s="1295"/>
      <c r="K75" s="1295"/>
      <c r="L75" s="1295"/>
      <c r="M75" s="1295"/>
      <c r="N75" s="1295"/>
      <c r="O75" s="1295"/>
      <c r="P75" s="1295"/>
    </row>
    <row r="77" spans="1:22">
      <c r="A77" s="1292" t="s">
        <v>1633</v>
      </c>
      <c r="B77" s="1297">
        <f>+B67+1</f>
        <v>9</v>
      </c>
      <c r="C77" s="1298"/>
      <c r="D77" s="1295" t="s">
        <v>1630</v>
      </c>
      <c r="E77" s="1295"/>
      <c r="F77" s="2530" t="e">
        <f>+F80+F83</f>
        <v>#REF!</v>
      </c>
      <c r="G77" s="2530"/>
      <c r="H77" s="2530"/>
      <c r="I77" s="1290" t="e">
        <f>"บาท (เงิน"&amp;BAHTTEXT(F77)&amp;")"</f>
        <v>#REF!</v>
      </c>
    </row>
    <row r="78" spans="1:22" s="1291" customFormat="1">
      <c r="A78" s="1293"/>
      <c r="B78" s="1298"/>
      <c r="C78" s="1298"/>
      <c r="D78" s="1299" t="s">
        <v>1634</v>
      </c>
      <c r="E78" s="1299"/>
      <c r="F78" s="1300"/>
      <c r="G78" s="1300"/>
      <c r="H78" s="1300"/>
    </row>
    <row r="79" spans="1:22">
      <c r="D79" s="1303" t="s">
        <v>1638</v>
      </c>
      <c r="E79" s="1295"/>
      <c r="F79" s="1295"/>
      <c r="G79" s="1295"/>
    </row>
    <row r="80" spans="1:22">
      <c r="D80" s="2532" t="s">
        <v>1639</v>
      </c>
      <c r="E80" s="2532"/>
      <c r="F80" s="2530" t="e">
        <f>+งวดงาน!#REF!</f>
        <v>#REF!</v>
      </c>
      <c r="G80" s="2530"/>
      <c r="H80" s="2530"/>
      <c r="I80" s="1290" t="e">
        <f>"บาท (เงิน"&amp;BAHTTEXT(F80)&amp;")"</f>
        <v>#REF!</v>
      </c>
      <c r="T80" s="1300"/>
      <c r="U80" s="1300"/>
      <c r="V80" s="1300"/>
    </row>
    <row r="81" spans="1:22">
      <c r="D81" s="1295" t="s">
        <v>1640</v>
      </c>
      <c r="E81" s="1295"/>
      <c r="F81" s="1295"/>
      <c r="G81" s="1295"/>
      <c r="J81" s="2533" t="e">
        <f>+งวดงาน!#REF!</f>
        <v>#REF!</v>
      </c>
      <c r="K81" s="2533"/>
      <c r="L81" s="1290" t="s">
        <v>260</v>
      </c>
    </row>
    <row r="82" spans="1:22">
      <c r="D82" s="1303" t="s">
        <v>1641</v>
      </c>
      <c r="E82" s="1295"/>
      <c r="F82" s="1295"/>
      <c r="G82" s="1295"/>
    </row>
    <row r="83" spans="1:22">
      <c r="D83" s="2532" t="s">
        <v>1639</v>
      </c>
      <c r="E83" s="2532"/>
      <c r="F83" s="2530" t="e">
        <f>+งวดงาน!#REF!</f>
        <v>#REF!</v>
      </c>
      <c r="G83" s="2530"/>
      <c r="H83" s="2530"/>
      <c r="I83" s="1290" t="e">
        <f>"บาท (เงิน"&amp;BAHTTEXT(F83)&amp;")"</f>
        <v>#REF!</v>
      </c>
      <c r="J83" s="1291"/>
      <c r="K83" s="1300"/>
      <c r="L83" s="1300"/>
    </row>
    <row r="84" spans="1:22">
      <c r="D84" s="1295" t="s">
        <v>1642</v>
      </c>
      <c r="E84" s="1295"/>
      <c r="F84" s="1295"/>
      <c r="G84" s="1295"/>
      <c r="J84" s="1300"/>
      <c r="K84" s="1300"/>
      <c r="L84" s="2533" t="e">
        <f>+งวดงาน!#REF!</f>
        <v>#REF!</v>
      </c>
      <c r="M84" s="2533"/>
      <c r="N84" s="1290" t="s">
        <v>260</v>
      </c>
    </row>
    <row r="85" spans="1:22">
      <c r="D85" s="1295" t="s">
        <v>1636</v>
      </c>
      <c r="E85" s="1295"/>
      <c r="F85" s="1295"/>
      <c r="G85" s="1304" t="e">
        <f>+งวดงาน!#REF!</f>
        <v>#REF!</v>
      </c>
      <c r="H85" s="1295" t="s">
        <v>1637</v>
      </c>
      <c r="I85" s="1295"/>
      <c r="J85" s="1295"/>
      <c r="K85" s="1295"/>
      <c r="L85" s="1295"/>
      <c r="M85" s="1295"/>
      <c r="N85" s="1295"/>
      <c r="O85" s="1295"/>
      <c r="P85" s="1295"/>
    </row>
    <row r="87" spans="1:22">
      <c r="A87" s="1292" t="s">
        <v>1633</v>
      </c>
      <c r="B87" s="1297">
        <f>+B77+1</f>
        <v>10</v>
      </c>
      <c r="C87" s="1298"/>
      <c r="D87" s="1295" t="s">
        <v>1630</v>
      </c>
      <c r="E87" s="1295"/>
      <c r="F87" s="2530" t="e">
        <f>+F90+F93</f>
        <v>#REF!</v>
      </c>
      <c r="G87" s="2530"/>
      <c r="H87" s="2530"/>
      <c r="I87" s="1290" t="e">
        <f>"บาท (เงิน"&amp;BAHTTEXT(F87)&amp;")"</f>
        <v>#REF!</v>
      </c>
    </row>
    <row r="88" spans="1:22" s="1291" customFormat="1">
      <c r="A88" s="1293"/>
      <c r="B88" s="1298"/>
      <c r="C88" s="1298"/>
      <c r="D88" s="1299" t="s">
        <v>1634</v>
      </c>
      <c r="E88" s="1299"/>
      <c r="F88" s="1300"/>
      <c r="G88" s="1300"/>
      <c r="H88" s="1300"/>
    </row>
    <row r="89" spans="1:22">
      <c r="D89" s="1303" t="s">
        <v>1638</v>
      </c>
      <c r="E89" s="1295"/>
      <c r="F89" s="1295"/>
      <c r="G89" s="1295"/>
    </row>
    <row r="90" spans="1:22">
      <c r="D90" s="2532" t="s">
        <v>1639</v>
      </c>
      <c r="E90" s="2532"/>
      <c r="F90" s="2530" t="e">
        <f>+งวดงาน!#REF!</f>
        <v>#REF!</v>
      </c>
      <c r="G90" s="2530"/>
      <c r="H90" s="2530"/>
      <c r="I90" s="1290" t="e">
        <f>"บาท (เงิน"&amp;BAHTTEXT(F90)&amp;")"</f>
        <v>#REF!</v>
      </c>
      <c r="T90" s="1300"/>
      <c r="U90" s="1300"/>
      <c r="V90" s="1300"/>
    </row>
    <row r="91" spans="1:22">
      <c r="D91" s="1295" t="s">
        <v>1640</v>
      </c>
      <c r="E91" s="1295"/>
      <c r="F91" s="1295"/>
      <c r="G91" s="1295"/>
      <c r="J91" s="2533" t="e">
        <f>+งวดงาน!#REF!</f>
        <v>#REF!</v>
      </c>
      <c r="K91" s="2533"/>
      <c r="L91" s="1290" t="s">
        <v>260</v>
      </c>
    </row>
    <row r="92" spans="1:22">
      <c r="D92" s="1303" t="s">
        <v>1641</v>
      </c>
      <c r="E92" s="1295"/>
      <c r="F92" s="1295"/>
      <c r="G92" s="1295"/>
    </row>
    <row r="93" spans="1:22">
      <c r="D93" s="2532" t="s">
        <v>1639</v>
      </c>
      <c r="E93" s="2532"/>
      <c r="F93" s="2530" t="e">
        <f>+งวดงาน!#REF!</f>
        <v>#REF!</v>
      </c>
      <c r="G93" s="2530"/>
      <c r="H93" s="2530"/>
      <c r="I93" s="1290" t="e">
        <f>"บาท (เงิน"&amp;BAHTTEXT(F93)&amp;")"</f>
        <v>#REF!</v>
      </c>
      <c r="J93" s="1291"/>
      <c r="K93" s="1300"/>
      <c r="L93" s="1300"/>
    </row>
    <row r="94" spans="1:22">
      <c r="D94" s="1295" t="s">
        <v>1642</v>
      </c>
      <c r="E94" s="1295"/>
      <c r="F94" s="1295"/>
      <c r="G94" s="1295"/>
      <c r="J94" s="1300"/>
      <c r="K94" s="1300"/>
      <c r="L94" s="2533" t="e">
        <f>+งวดงาน!#REF!</f>
        <v>#REF!</v>
      </c>
      <c r="M94" s="2533"/>
      <c r="N94" s="1290" t="s">
        <v>260</v>
      </c>
    </row>
    <row r="95" spans="1:22">
      <c r="D95" s="1295" t="s">
        <v>1636</v>
      </c>
      <c r="E95" s="1295"/>
      <c r="F95" s="1295"/>
      <c r="G95" s="1304" t="e">
        <f>+งวดงาน!#REF!</f>
        <v>#REF!</v>
      </c>
      <c r="H95" s="1295" t="s">
        <v>1637</v>
      </c>
      <c r="I95" s="1295"/>
      <c r="J95" s="1295"/>
      <c r="K95" s="1295"/>
      <c r="L95" s="1295"/>
      <c r="M95" s="1295"/>
      <c r="N95" s="1295"/>
      <c r="O95" s="1295"/>
      <c r="P95" s="1295"/>
    </row>
    <row r="97" spans="1:22">
      <c r="A97" s="1292" t="s">
        <v>1633</v>
      </c>
      <c r="B97" s="1297">
        <f>+B87+1</f>
        <v>11</v>
      </c>
      <c r="C97" s="1298"/>
      <c r="D97" s="1295" t="s">
        <v>1630</v>
      </c>
      <c r="E97" s="1295"/>
      <c r="F97" s="2530" t="e">
        <f>+F100+F103</f>
        <v>#REF!</v>
      </c>
      <c r="G97" s="2530"/>
      <c r="H97" s="2530"/>
      <c r="I97" s="1290" t="e">
        <f>"บาท (เงิน"&amp;BAHTTEXT(F97)&amp;")"</f>
        <v>#REF!</v>
      </c>
    </row>
    <row r="98" spans="1:22" s="1291" customFormat="1">
      <c r="A98" s="1293"/>
      <c r="B98" s="1298"/>
      <c r="C98" s="1298"/>
      <c r="D98" s="1299" t="s">
        <v>1634</v>
      </c>
      <c r="E98" s="1299"/>
      <c r="F98" s="1300"/>
      <c r="G98" s="1300"/>
      <c r="H98" s="1300"/>
    </row>
    <row r="99" spans="1:22">
      <c r="D99" s="1303" t="s">
        <v>1638</v>
      </c>
      <c r="E99" s="1295"/>
      <c r="F99" s="1295"/>
      <c r="G99" s="1295"/>
    </row>
    <row r="100" spans="1:22">
      <c r="D100" s="2532" t="s">
        <v>1639</v>
      </c>
      <c r="E100" s="2532"/>
      <c r="F100" s="2530" t="e">
        <f>+งวดงาน!#REF!</f>
        <v>#REF!</v>
      </c>
      <c r="G100" s="2530"/>
      <c r="H100" s="2530"/>
      <c r="I100" s="1290" t="e">
        <f>"บาท (เงิน"&amp;BAHTTEXT(F100)&amp;")"</f>
        <v>#REF!</v>
      </c>
      <c r="T100" s="1300"/>
      <c r="U100" s="1300"/>
      <c r="V100" s="1300"/>
    </row>
    <row r="101" spans="1:22">
      <c r="D101" s="1295" t="s">
        <v>1640</v>
      </c>
      <c r="E101" s="1295"/>
      <c r="F101" s="1295"/>
      <c r="G101" s="1295"/>
      <c r="J101" s="2533" t="e">
        <f>+งวดงาน!#REF!</f>
        <v>#REF!</v>
      </c>
      <c r="K101" s="2533"/>
      <c r="L101" s="1290" t="s">
        <v>260</v>
      </c>
    </row>
    <row r="102" spans="1:22">
      <c r="D102" s="1303" t="s">
        <v>1641</v>
      </c>
      <c r="E102" s="1295"/>
      <c r="F102" s="1295"/>
      <c r="G102" s="1295"/>
    </row>
    <row r="103" spans="1:22">
      <c r="D103" s="2532" t="s">
        <v>1639</v>
      </c>
      <c r="E103" s="2532"/>
      <c r="F103" s="2530" t="e">
        <f>+งวดงาน!#REF!</f>
        <v>#REF!</v>
      </c>
      <c r="G103" s="2530"/>
      <c r="H103" s="2530"/>
      <c r="I103" s="1290" t="e">
        <f>"บาท (เงิน"&amp;BAHTTEXT(F103)&amp;")"</f>
        <v>#REF!</v>
      </c>
      <c r="J103" s="1291"/>
      <c r="K103" s="1300"/>
      <c r="L103" s="1300"/>
    </row>
    <row r="104" spans="1:22">
      <c r="D104" s="1295" t="s">
        <v>1642</v>
      </c>
      <c r="E104" s="1295"/>
      <c r="F104" s="1295"/>
      <c r="G104" s="1295"/>
      <c r="J104" s="1300"/>
      <c r="K104" s="1300"/>
      <c r="L104" s="2533" t="e">
        <f>+งวดงาน!#REF!</f>
        <v>#REF!</v>
      </c>
      <c r="M104" s="2533"/>
      <c r="N104" s="1290" t="s">
        <v>260</v>
      </c>
    </row>
    <row r="105" spans="1:22">
      <c r="D105" s="1295" t="s">
        <v>1636</v>
      </c>
      <c r="E105" s="1295"/>
      <c r="F105" s="1295"/>
      <c r="G105" s="1304" t="e">
        <f>+งวดงาน!#REF!</f>
        <v>#REF!</v>
      </c>
      <c r="H105" s="1295" t="s">
        <v>1637</v>
      </c>
      <c r="I105" s="1295"/>
      <c r="J105" s="1295"/>
      <c r="K105" s="1295"/>
      <c r="L105" s="1295"/>
      <c r="M105" s="1295"/>
      <c r="N105" s="1295"/>
      <c r="O105" s="1295"/>
      <c r="P105" s="1295"/>
    </row>
    <row r="107" spans="1:22">
      <c r="A107" s="1292" t="s">
        <v>1633</v>
      </c>
      <c r="B107" s="1297">
        <f>+B97+1</f>
        <v>12</v>
      </c>
      <c r="C107" s="1298"/>
      <c r="D107" s="1295" t="s">
        <v>1630</v>
      </c>
      <c r="E107" s="1295"/>
      <c r="F107" s="2530" t="e">
        <f>+F110+F113</f>
        <v>#REF!</v>
      </c>
      <c r="G107" s="2530"/>
      <c r="H107" s="2530"/>
      <c r="I107" s="1290" t="e">
        <f>"บาท (เงิน"&amp;BAHTTEXT(F107)&amp;")"</f>
        <v>#REF!</v>
      </c>
    </row>
    <row r="108" spans="1:22" s="1291" customFormat="1">
      <c r="A108" s="1293"/>
      <c r="B108" s="1298"/>
      <c r="C108" s="1298"/>
      <c r="D108" s="1299" t="s">
        <v>1634</v>
      </c>
      <c r="E108" s="1299"/>
      <c r="F108" s="1300"/>
      <c r="G108" s="1300"/>
      <c r="H108" s="1300"/>
    </row>
    <row r="109" spans="1:22">
      <c r="D109" s="1303" t="s">
        <v>1638</v>
      </c>
      <c r="E109" s="1295"/>
      <c r="F109" s="1295"/>
      <c r="G109" s="1295"/>
    </row>
    <row r="110" spans="1:22">
      <c r="D110" s="2532" t="s">
        <v>1639</v>
      </c>
      <c r="E110" s="2532"/>
      <c r="F110" s="2530" t="e">
        <f>+งวดงาน!#REF!</f>
        <v>#REF!</v>
      </c>
      <c r="G110" s="2530"/>
      <c r="H110" s="2530"/>
      <c r="I110" s="1290" t="e">
        <f>"บาท (เงิน"&amp;BAHTTEXT(F110)&amp;")"</f>
        <v>#REF!</v>
      </c>
      <c r="T110" s="1300"/>
      <c r="U110" s="1300"/>
      <c r="V110" s="1300"/>
    </row>
    <row r="111" spans="1:22">
      <c r="D111" s="1295" t="s">
        <v>1640</v>
      </c>
      <c r="E111" s="1295"/>
      <c r="F111" s="1295"/>
      <c r="G111" s="1295"/>
      <c r="J111" s="2533" t="e">
        <f>+งวดงาน!#REF!</f>
        <v>#REF!</v>
      </c>
      <c r="K111" s="2533"/>
      <c r="L111" s="1290" t="s">
        <v>260</v>
      </c>
    </row>
    <row r="112" spans="1:22">
      <c r="D112" s="1303" t="s">
        <v>1641</v>
      </c>
      <c r="E112" s="1295"/>
      <c r="F112" s="1295"/>
      <c r="G112" s="1295"/>
    </row>
    <row r="113" spans="1:22">
      <c r="D113" s="2532" t="s">
        <v>1639</v>
      </c>
      <c r="E113" s="2532"/>
      <c r="F113" s="2530" t="e">
        <f>+งวดงาน!#REF!</f>
        <v>#REF!</v>
      </c>
      <c r="G113" s="2530"/>
      <c r="H113" s="2530"/>
      <c r="I113" s="1290" t="e">
        <f>"บาท (เงิน"&amp;BAHTTEXT(F113)&amp;")"</f>
        <v>#REF!</v>
      </c>
      <c r="J113" s="1291"/>
      <c r="K113" s="1300"/>
      <c r="L113" s="1300"/>
    </row>
    <row r="114" spans="1:22">
      <c r="D114" s="1295" t="s">
        <v>1642</v>
      </c>
      <c r="E114" s="1295"/>
      <c r="F114" s="1295"/>
      <c r="G114" s="1295"/>
      <c r="J114" s="1300"/>
      <c r="K114" s="1300"/>
      <c r="L114" s="2533" t="e">
        <f>+งวดงาน!#REF!</f>
        <v>#REF!</v>
      </c>
      <c r="M114" s="2533"/>
      <c r="N114" s="1290" t="s">
        <v>260</v>
      </c>
    </row>
    <row r="115" spans="1:22">
      <c r="D115" s="1295" t="s">
        <v>1636</v>
      </c>
      <c r="E115" s="1295"/>
      <c r="F115" s="1295"/>
      <c r="G115" s="1304" t="e">
        <f>+งวดงาน!#REF!</f>
        <v>#REF!</v>
      </c>
      <c r="H115" s="1295" t="s">
        <v>1637</v>
      </c>
      <c r="I115" s="1295"/>
      <c r="J115" s="1295"/>
      <c r="K115" s="1295"/>
      <c r="L115" s="1295"/>
      <c r="M115" s="1295"/>
      <c r="N115" s="1295"/>
      <c r="O115" s="1295"/>
      <c r="P115" s="1295"/>
    </row>
    <row r="117" spans="1:22">
      <c r="A117" s="1292" t="s">
        <v>1633</v>
      </c>
      <c r="B117" s="1297">
        <f>+B107+1</f>
        <v>13</v>
      </c>
      <c r="C117" s="1298"/>
      <c r="D117" s="1295" t="s">
        <v>1630</v>
      </c>
      <c r="E117" s="1295"/>
      <c r="F117" s="2530" t="e">
        <f>+F120+F123</f>
        <v>#REF!</v>
      </c>
      <c r="G117" s="2530"/>
      <c r="H117" s="2530"/>
      <c r="I117" s="1290" t="e">
        <f>"บาท (เงิน"&amp;BAHTTEXT(F117)&amp;")"</f>
        <v>#REF!</v>
      </c>
    </row>
    <row r="118" spans="1:22" s="1291" customFormat="1">
      <c r="A118" s="1293"/>
      <c r="B118" s="1298"/>
      <c r="C118" s="1298"/>
      <c r="D118" s="1299" t="s">
        <v>1634</v>
      </c>
      <c r="E118" s="1299"/>
      <c r="F118" s="1300"/>
      <c r="G118" s="1300"/>
      <c r="H118" s="1300"/>
    </row>
    <row r="119" spans="1:22">
      <c r="D119" s="1303" t="s">
        <v>1638</v>
      </c>
      <c r="E119" s="1295"/>
      <c r="F119" s="1295"/>
      <c r="G119" s="1295"/>
    </row>
    <row r="120" spans="1:22">
      <c r="D120" s="2532" t="s">
        <v>1639</v>
      </c>
      <c r="E120" s="2532"/>
      <c r="F120" s="2530" t="e">
        <f>+งวดงาน!#REF!</f>
        <v>#REF!</v>
      </c>
      <c r="G120" s="2530"/>
      <c r="H120" s="2530"/>
      <c r="I120" s="1290" t="e">
        <f>"บาท (เงิน"&amp;BAHTTEXT(F120)&amp;")"</f>
        <v>#REF!</v>
      </c>
      <c r="T120" s="1300"/>
      <c r="U120" s="1300"/>
      <c r="V120" s="1300"/>
    </row>
    <row r="121" spans="1:22">
      <c r="D121" s="1295" t="s">
        <v>1640</v>
      </c>
      <c r="E121" s="1295"/>
      <c r="F121" s="1295"/>
      <c r="G121" s="1295"/>
      <c r="J121" s="2533" t="e">
        <f>+งวดงาน!#REF!</f>
        <v>#REF!</v>
      </c>
      <c r="K121" s="2533"/>
      <c r="L121" s="1290" t="s">
        <v>260</v>
      </c>
    </row>
    <row r="122" spans="1:22">
      <c r="D122" s="1303" t="s">
        <v>1641</v>
      </c>
      <c r="E122" s="1295"/>
      <c r="F122" s="1295"/>
      <c r="G122" s="1295"/>
    </row>
    <row r="123" spans="1:22">
      <c r="D123" s="2532" t="s">
        <v>1639</v>
      </c>
      <c r="E123" s="2532"/>
      <c r="F123" s="2530" t="e">
        <f>+งวดงาน!#REF!</f>
        <v>#REF!</v>
      </c>
      <c r="G123" s="2530"/>
      <c r="H123" s="2530"/>
      <c r="I123" s="1290" t="e">
        <f>"บาท (เงิน"&amp;BAHTTEXT(F123)&amp;")"</f>
        <v>#REF!</v>
      </c>
      <c r="J123" s="1291"/>
      <c r="K123" s="1300"/>
      <c r="L123" s="1300"/>
    </row>
    <row r="124" spans="1:22">
      <c r="D124" s="1295" t="s">
        <v>1642</v>
      </c>
      <c r="E124" s="1295"/>
      <c r="F124" s="1295"/>
      <c r="G124" s="1295"/>
      <c r="J124" s="1300"/>
      <c r="K124" s="1300"/>
      <c r="L124" s="2533" t="e">
        <f>+งวดงาน!#REF!</f>
        <v>#REF!</v>
      </c>
      <c r="M124" s="2533"/>
      <c r="N124" s="1290" t="s">
        <v>260</v>
      </c>
    </row>
    <row r="125" spans="1:22">
      <c r="D125" s="1295" t="s">
        <v>1636</v>
      </c>
      <c r="E125" s="1295"/>
      <c r="F125" s="1295"/>
      <c r="G125" s="1304" t="e">
        <f>+งวดงาน!#REF!</f>
        <v>#REF!</v>
      </c>
      <c r="H125" s="1295" t="s">
        <v>1637</v>
      </c>
      <c r="I125" s="1295"/>
      <c r="J125" s="1295"/>
      <c r="K125" s="1295"/>
      <c r="L125" s="1295"/>
      <c r="M125" s="1295"/>
      <c r="N125" s="1295"/>
      <c r="O125" s="1295"/>
      <c r="P125" s="1295"/>
    </row>
    <row r="127" spans="1:22">
      <c r="A127" s="1292" t="s">
        <v>1633</v>
      </c>
      <c r="B127" s="1297">
        <f>+B117+1</f>
        <v>14</v>
      </c>
      <c r="C127" s="1298"/>
      <c r="D127" s="1295" t="s">
        <v>1630</v>
      </c>
      <c r="E127" s="1295"/>
      <c r="F127" s="2530" t="e">
        <f>+F130+F133</f>
        <v>#REF!</v>
      </c>
      <c r="G127" s="2530"/>
      <c r="H127" s="2530"/>
      <c r="I127" s="1290" t="e">
        <f>"บาท (เงิน"&amp;BAHTTEXT(F127)&amp;")"</f>
        <v>#REF!</v>
      </c>
    </row>
    <row r="128" spans="1:22" s="1291" customFormat="1">
      <c r="A128" s="1293"/>
      <c r="B128" s="1298"/>
      <c r="C128" s="1298"/>
      <c r="D128" s="1299" t="s">
        <v>1634</v>
      </c>
      <c r="E128" s="1299"/>
      <c r="F128" s="1300"/>
      <c r="G128" s="1300"/>
      <c r="H128" s="1300"/>
    </row>
    <row r="129" spans="1:22">
      <c r="D129" s="1303" t="s">
        <v>1638</v>
      </c>
      <c r="E129" s="1295"/>
      <c r="F129" s="1295"/>
      <c r="G129" s="1295"/>
    </row>
    <row r="130" spans="1:22">
      <c r="D130" s="2532" t="s">
        <v>1639</v>
      </c>
      <c r="E130" s="2532"/>
      <c r="F130" s="2530" t="e">
        <f>+งวดงาน!#REF!</f>
        <v>#REF!</v>
      </c>
      <c r="G130" s="2530"/>
      <c r="H130" s="2530"/>
      <c r="I130" s="1290" t="e">
        <f>"บาท (เงิน"&amp;BAHTTEXT(F130)&amp;")"</f>
        <v>#REF!</v>
      </c>
      <c r="T130" s="1300"/>
      <c r="U130" s="1300"/>
      <c r="V130" s="1300"/>
    </row>
    <row r="131" spans="1:22">
      <c r="D131" s="1295" t="s">
        <v>1640</v>
      </c>
      <c r="E131" s="1295"/>
      <c r="F131" s="1295"/>
      <c r="G131" s="1295"/>
      <c r="J131" s="2533" t="e">
        <f>+งวดงาน!#REF!</f>
        <v>#REF!</v>
      </c>
      <c r="K131" s="2533"/>
      <c r="L131" s="1290" t="s">
        <v>260</v>
      </c>
    </row>
    <row r="132" spans="1:22">
      <c r="D132" s="1303" t="s">
        <v>1641</v>
      </c>
      <c r="E132" s="1295"/>
      <c r="F132" s="1295"/>
      <c r="G132" s="1295"/>
    </row>
    <row r="133" spans="1:22">
      <c r="D133" s="2532" t="s">
        <v>1639</v>
      </c>
      <c r="E133" s="2532"/>
      <c r="F133" s="2530" t="e">
        <f>+งวดงาน!#REF!</f>
        <v>#REF!</v>
      </c>
      <c r="G133" s="2530"/>
      <c r="H133" s="2530"/>
      <c r="I133" s="1290" t="e">
        <f>"บาท (เงิน"&amp;BAHTTEXT(F133)&amp;")"</f>
        <v>#REF!</v>
      </c>
      <c r="J133" s="1291"/>
      <c r="K133" s="1300"/>
      <c r="L133" s="1300"/>
    </row>
    <row r="134" spans="1:22">
      <c r="D134" s="1295" t="s">
        <v>1642</v>
      </c>
      <c r="E134" s="1295"/>
      <c r="F134" s="1295"/>
      <c r="G134" s="1295"/>
      <c r="J134" s="1300"/>
      <c r="K134" s="1300"/>
      <c r="L134" s="2533" t="e">
        <f>+งวดงาน!#REF!</f>
        <v>#REF!</v>
      </c>
      <c r="M134" s="2533"/>
      <c r="N134" s="1290" t="s">
        <v>260</v>
      </c>
    </row>
    <row r="135" spans="1:22">
      <c r="D135" s="1295" t="s">
        <v>1636</v>
      </c>
      <c r="E135" s="1295"/>
      <c r="F135" s="1295"/>
      <c r="G135" s="1304" t="e">
        <f>+งวดงาน!#REF!</f>
        <v>#REF!</v>
      </c>
      <c r="H135" s="1295" t="s">
        <v>1637</v>
      </c>
      <c r="I135" s="1295"/>
      <c r="J135" s="1295"/>
      <c r="K135" s="1295"/>
      <c r="L135" s="1295"/>
      <c r="M135" s="1295"/>
      <c r="N135" s="1295"/>
      <c r="O135" s="1295"/>
      <c r="P135" s="1295"/>
    </row>
    <row r="137" spans="1:22">
      <c r="A137" s="1292" t="s">
        <v>1633</v>
      </c>
      <c r="B137" s="1297">
        <f>+B127+1</f>
        <v>15</v>
      </c>
      <c r="C137" s="1298"/>
      <c r="D137" s="1295" t="s">
        <v>1630</v>
      </c>
      <c r="E137" s="1295"/>
      <c r="F137" s="2530" t="e">
        <f>+F140+F143</f>
        <v>#REF!</v>
      </c>
      <c r="G137" s="2530"/>
      <c r="H137" s="2530"/>
      <c r="I137" s="1290" t="e">
        <f>"บาท (เงิน"&amp;BAHTTEXT(F137)&amp;")"</f>
        <v>#REF!</v>
      </c>
    </row>
    <row r="138" spans="1:22" s="1291" customFormat="1">
      <c r="A138" s="1293"/>
      <c r="B138" s="1298"/>
      <c r="C138" s="1298"/>
      <c r="D138" s="1299" t="s">
        <v>1634</v>
      </c>
      <c r="E138" s="1299"/>
      <c r="F138" s="1300"/>
      <c r="G138" s="1300"/>
      <c r="H138" s="1300"/>
    </row>
    <row r="139" spans="1:22">
      <c r="D139" s="1303" t="s">
        <v>1638</v>
      </c>
      <c r="E139" s="1295"/>
      <c r="F139" s="1295"/>
      <c r="G139" s="1295"/>
    </row>
    <row r="140" spans="1:22">
      <c r="D140" s="2532" t="s">
        <v>1639</v>
      </c>
      <c r="E140" s="2532"/>
      <c r="F140" s="2530" t="e">
        <f>+งวดงาน!#REF!</f>
        <v>#REF!</v>
      </c>
      <c r="G140" s="2530"/>
      <c r="H140" s="2530"/>
      <c r="I140" s="1290" t="e">
        <f>"บาท (เงิน"&amp;BAHTTEXT(F140)&amp;")"</f>
        <v>#REF!</v>
      </c>
      <c r="T140" s="1300"/>
      <c r="U140" s="1300"/>
      <c r="V140" s="1300"/>
    </row>
    <row r="141" spans="1:22">
      <c r="D141" s="1295" t="s">
        <v>1640</v>
      </c>
      <c r="E141" s="1295"/>
      <c r="F141" s="1295"/>
      <c r="G141" s="1295"/>
      <c r="J141" s="2533" t="e">
        <f>+งวดงาน!#REF!</f>
        <v>#REF!</v>
      </c>
      <c r="K141" s="2533"/>
      <c r="L141" s="1290" t="s">
        <v>260</v>
      </c>
    </row>
    <row r="142" spans="1:22">
      <c r="D142" s="1303" t="s">
        <v>1641</v>
      </c>
      <c r="E142" s="1295"/>
      <c r="F142" s="1295"/>
      <c r="G142" s="1295"/>
    </row>
    <row r="143" spans="1:22">
      <c r="D143" s="2532" t="s">
        <v>1639</v>
      </c>
      <c r="E143" s="2532"/>
      <c r="F143" s="2530" t="e">
        <f>+งวดงาน!#REF!</f>
        <v>#REF!</v>
      </c>
      <c r="G143" s="2530"/>
      <c r="H143" s="2530"/>
      <c r="I143" s="1290" t="e">
        <f>"บาท (เงิน"&amp;BAHTTEXT(F143)&amp;")"</f>
        <v>#REF!</v>
      </c>
      <c r="J143" s="1291"/>
      <c r="K143" s="1300"/>
      <c r="L143" s="1300"/>
    </row>
    <row r="144" spans="1:22">
      <c r="D144" s="1295" t="s">
        <v>1642</v>
      </c>
      <c r="E144" s="1295"/>
      <c r="F144" s="1295"/>
      <c r="G144" s="1295"/>
      <c r="J144" s="1300"/>
      <c r="K144" s="1300"/>
      <c r="L144" s="2533" t="e">
        <f>+งวดงาน!#REF!</f>
        <v>#REF!</v>
      </c>
      <c r="M144" s="2533"/>
      <c r="N144" s="1290" t="s">
        <v>260</v>
      </c>
    </row>
    <row r="145" spans="1:22">
      <c r="D145" s="1295" t="s">
        <v>1636</v>
      </c>
      <c r="E145" s="1295"/>
      <c r="F145" s="1295"/>
      <c r="G145" s="1304" t="e">
        <f>+งวดงาน!#REF!</f>
        <v>#REF!</v>
      </c>
      <c r="H145" s="1295" t="s">
        <v>1637</v>
      </c>
      <c r="I145" s="1295"/>
      <c r="J145" s="1295"/>
      <c r="K145" s="1295"/>
      <c r="L145" s="1295"/>
      <c r="M145" s="1295"/>
      <c r="N145" s="1295"/>
      <c r="O145" s="1295"/>
      <c r="P145" s="1295"/>
    </row>
    <row r="147" spans="1:22">
      <c r="A147" s="1292" t="s">
        <v>1633</v>
      </c>
      <c r="B147" s="1297">
        <f>+B137+1</f>
        <v>16</v>
      </c>
      <c r="C147" s="1298"/>
      <c r="D147" s="1295" t="s">
        <v>1630</v>
      </c>
      <c r="E147" s="1295"/>
      <c r="F147" s="2530">
        <f>+งวดงาน!J59</f>
        <v>921196.10000000009</v>
      </c>
      <c r="G147" s="2530"/>
      <c r="H147" s="2530"/>
      <c r="I147" s="1290" t="str">
        <f>"บาท (เงิน"&amp;BAHTTEXT(F147)&amp;")"</f>
        <v>บาท (เงินเก้าแสนสองหมื่นหนึ่งพันหนึ่งร้อยเก้าสิบหกบาทสิบสตางค์)</v>
      </c>
      <c r="S147" s="1306"/>
    </row>
    <row r="148" spans="1:22" s="1291" customFormat="1">
      <c r="A148" s="1293" t="s">
        <v>1643</v>
      </c>
      <c r="B148" s="1298"/>
      <c r="C148" s="1298"/>
      <c r="D148" s="1299" t="s">
        <v>1634</v>
      </c>
      <c r="E148" s="1299"/>
      <c r="F148" s="1300"/>
      <c r="G148" s="1300"/>
      <c r="H148" s="1300"/>
    </row>
    <row r="149" spans="1:22">
      <c r="D149" s="1303" t="s">
        <v>1942</v>
      </c>
      <c r="E149" s="1295"/>
      <c r="F149" s="1295"/>
      <c r="G149" s="1295"/>
    </row>
    <row r="150" spans="1:22">
      <c r="D150" s="2532" t="s">
        <v>1639</v>
      </c>
      <c r="E150" s="2532"/>
      <c r="F150" s="2530">
        <f>+งวดงาน!J42</f>
        <v>24680</v>
      </c>
      <c r="G150" s="2530"/>
      <c r="H150" s="2530"/>
      <c r="I150" s="1290" t="str">
        <f>"บาท (เงิน"&amp;BAHTTEXT(F150)&amp;")"</f>
        <v>บาท (เงินสองหมื่นสี่พันหกร้อยแปดสิบบาทถ้วน)</v>
      </c>
      <c r="J150" s="1300"/>
      <c r="K150" s="1300"/>
      <c r="L150" s="1300"/>
    </row>
    <row r="151" spans="1:22" ht="20.25" customHeight="1">
      <c r="D151" s="2535" t="s">
        <v>1940</v>
      </c>
      <c r="E151" s="2535"/>
      <c r="F151" s="2535"/>
      <c r="G151" s="2535"/>
      <c r="H151" s="2535"/>
      <c r="I151" s="2535"/>
      <c r="J151" s="2535"/>
      <c r="K151" s="2535"/>
      <c r="L151" s="2535"/>
      <c r="M151" s="2535"/>
      <c r="N151" s="2535"/>
      <c r="O151" s="2535"/>
      <c r="P151" s="2535"/>
      <c r="Q151" s="2535"/>
      <c r="R151" s="1308"/>
    </row>
    <row r="152" spans="1:22">
      <c r="D152" s="2535"/>
      <c r="E152" s="2535"/>
      <c r="F152" s="2535"/>
      <c r="G152" s="2535"/>
      <c r="H152" s="2535"/>
      <c r="I152" s="2535"/>
      <c r="J152" s="2535"/>
      <c r="K152" s="2535"/>
      <c r="L152" s="2535"/>
      <c r="M152" s="2535"/>
      <c r="N152" s="2535"/>
      <c r="O152" s="2535"/>
      <c r="P152" s="2535"/>
      <c r="Q152" s="2535"/>
      <c r="R152" s="1308"/>
    </row>
    <row r="153" spans="1:22" ht="20.25" customHeight="1">
      <c r="D153" s="2535" t="s">
        <v>1654</v>
      </c>
      <c r="E153" s="2535"/>
      <c r="F153" s="2535"/>
      <c r="G153" s="2535"/>
      <c r="H153" s="2535"/>
      <c r="I153" s="2535"/>
      <c r="J153" s="2535"/>
      <c r="K153" s="2535"/>
      <c r="L153" s="2535"/>
      <c r="M153" s="2535"/>
      <c r="N153" s="2535"/>
      <c r="O153" s="2535"/>
      <c r="P153" s="2535"/>
      <c r="Q153" s="2535"/>
      <c r="R153" s="1308"/>
    </row>
    <row r="154" spans="1:22">
      <c r="D154" s="2535"/>
      <c r="E154" s="2535"/>
      <c r="F154" s="2535"/>
      <c r="G154" s="2535"/>
      <c r="H154" s="2535"/>
      <c r="I154" s="2535"/>
      <c r="J154" s="2535"/>
      <c r="K154" s="2535"/>
      <c r="L154" s="2535"/>
      <c r="M154" s="2535"/>
      <c r="N154" s="2535"/>
      <c r="O154" s="2535"/>
      <c r="P154" s="2535"/>
      <c r="Q154" s="2535"/>
      <c r="R154" s="1308"/>
    </row>
    <row r="155" spans="1:22">
      <c r="D155" s="1303" t="s">
        <v>1941</v>
      </c>
      <c r="E155" s="1295"/>
      <c r="F155" s="1295"/>
      <c r="G155" s="1295"/>
    </row>
    <row r="156" spans="1:22">
      <c r="D156" s="2532" t="s">
        <v>1639</v>
      </c>
      <c r="E156" s="2532"/>
      <c r="F156" s="2530" t="e">
        <f>+งวดงาน!#REF!</f>
        <v>#REF!</v>
      </c>
      <c r="G156" s="2530"/>
      <c r="H156" s="2530"/>
      <c r="I156" s="1290" t="e">
        <f>"บาท (เงิน"&amp;BAHTTEXT(F156)&amp;")"</f>
        <v>#REF!</v>
      </c>
      <c r="T156" s="1300"/>
      <c r="U156" s="1300"/>
      <c r="V156" s="1300"/>
    </row>
    <row r="157" spans="1:22" ht="20.25" customHeight="1">
      <c r="D157" s="2535" t="s">
        <v>1644</v>
      </c>
      <c r="E157" s="2535"/>
      <c r="F157" s="2535"/>
      <c r="G157" s="2535"/>
      <c r="H157" s="2535"/>
      <c r="I157" s="2535"/>
      <c r="J157" s="2535"/>
      <c r="K157" s="2535"/>
      <c r="L157" s="2535"/>
      <c r="M157" s="2535"/>
      <c r="N157" s="2535"/>
      <c r="O157" s="2535"/>
      <c r="P157" s="2535"/>
      <c r="Q157" s="2535"/>
      <c r="R157" s="1308"/>
    </row>
    <row r="158" spans="1:22">
      <c r="D158" s="2535"/>
      <c r="E158" s="2535"/>
      <c r="F158" s="2535"/>
      <c r="G158" s="2535"/>
      <c r="H158" s="2535"/>
      <c r="I158" s="2535"/>
      <c r="J158" s="2535"/>
      <c r="K158" s="2535"/>
      <c r="L158" s="2535"/>
      <c r="M158" s="2535"/>
      <c r="N158" s="2535"/>
      <c r="O158" s="2535"/>
      <c r="P158" s="2535"/>
      <c r="Q158" s="2535"/>
      <c r="R158" s="1308"/>
    </row>
    <row r="159" spans="1:22">
      <c r="D159" s="1303" t="s">
        <v>1645</v>
      </c>
      <c r="E159" s="1295"/>
      <c r="F159" s="1295"/>
      <c r="G159" s="1295"/>
    </row>
    <row r="160" spans="1:22">
      <c r="D160" s="2532" t="s">
        <v>1639</v>
      </c>
      <c r="E160" s="2532"/>
      <c r="F160" s="2530" t="e">
        <f>+งวดงาน!#REF!</f>
        <v>#REF!</v>
      </c>
      <c r="G160" s="2530"/>
      <c r="H160" s="2530"/>
      <c r="I160" s="1290" t="e">
        <f>"บาท (เงิน"&amp;BAHTTEXT(F160)&amp;")"</f>
        <v>#REF!</v>
      </c>
      <c r="T160" s="1300"/>
      <c r="U160" s="1300"/>
      <c r="V160" s="1300"/>
    </row>
    <row r="161" spans="1:22" ht="20.25" customHeight="1">
      <c r="D161" s="2535" t="s">
        <v>1646</v>
      </c>
      <c r="E161" s="2535"/>
      <c r="F161" s="2535"/>
      <c r="G161" s="2535"/>
      <c r="H161" s="2535"/>
      <c r="I161" s="2535"/>
      <c r="J161" s="2535"/>
      <c r="K161" s="2535"/>
      <c r="L161" s="2535"/>
      <c r="M161" s="2535"/>
      <c r="N161" s="2535"/>
      <c r="O161" s="2535"/>
      <c r="P161" s="2535"/>
      <c r="Q161" s="2535"/>
      <c r="R161" s="1308"/>
    </row>
    <row r="162" spans="1:22">
      <c r="D162" s="2535"/>
      <c r="E162" s="2535"/>
      <c r="F162" s="2535"/>
      <c r="G162" s="2535"/>
      <c r="H162" s="2535"/>
      <c r="I162" s="2535"/>
      <c r="J162" s="2535"/>
      <c r="K162" s="2535"/>
      <c r="L162" s="2535"/>
      <c r="M162" s="2535"/>
      <c r="N162" s="2535"/>
      <c r="O162" s="2535"/>
      <c r="P162" s="2535"/>
      <c r="Q162" s="2535"/>
      <c r="R162" s="1308"/>
    </row>
    <row r="163" spans="1:22">
      <c r="D163" s="1303" t="s">
        <v>1647</v>
      </c>
      <c r="E163" s="1295"/>
      <c r="F163" s="1295"/>
      <c r="G163" s="1295"/>
    </row>
    <row r="164" spans="1:22">
      <c r="D164" s="2532" t="s">
        <v>1639</v>
      </c>
      <c r="E164" s="2532"/>
      <c r="F164" s="2530">
        <f>+งวดงาน!I48</f>
        <v>117581.3</v>
      </c>
      <c r="G164" s="2530"/>
      <c r="H164" s="2530"/>
      <c r="I164" s="1290" t="str">
        <f>"บาท (เงิน"&amp;BAHTTEXT(F164)&amp;")"</f>
        <v>บาท (เงินหนึ่งแสนหนึ่งหมื่นเจ็ดพันห้าร้อยแปดสิบเอ็ดบาทสามสิบสตางค์)</v>
      </c>
      <c r="T164" s="1300"/>
      <c r="U164" s="1300"/>
      <c r="V164" s="1300"/>
    </row>
    <row r="165" spans="1:22" ht="20.25" customHeight="1">
      <c r="D165" s="2535" t="s">
        <v>1655</v>
      </c>
      <c r="E165" s="2535"/>
      <c r="F165" s="2535"/>
      <c r="G165" s="2535"/>
      <c r="H165" s="2535"/>
      <c r="I165" s="2535"/>
      <c r="J165" s="2535"/>
      <c r="K165" s="2535"/>
      <c r="L165" s="2535"/>
      <c r="M165" s="2535"/>
      <c r="N165" s="2535"/>
      <c r="O165" s="2535"/>
      <c r="P165" s="2535"/>
      <c r="Q165" s="2535"/>
      <c r="R165" s="1308"/>
    </row>
    <row r="166" spans="1:22">
      <c r="D166" s="2535"/>
      <c r="E166" s="2535"/>
      <c r="F166" s="2535"/>
      <c r="G166" s="2535"/>
      <c r="H166" s="2535"/>
      <c r="I166" s="2535"/>
      <c r="J166" s="2535"/>
      <c r="K166" s="2535"/>
      <c r="L166" s="2535"/>
      <c r="M166" s="2535"/>
      <c r="N166" s="2535"/>
      <c r="O166" s="2535"/>
      <c r="P166" s="2535"/>
      <c r="Q166" s="2535"/>
      <c r="R166" s="1308"/>
    </row>
    <row r="167" spans="1:22">
      <c r="D167" s="2535"/>
      <c r="E167" s="2535"/>
      <c r="F167" s="2535"/>
      <c r="G167" s="2535"/>
      <c r="H167" s="2535"/>
      <c r="I167" s="2535"/>
      <c r="J167" s="2535"/>
      <c r="K167" s="2535"/>
      <c r="L167" s="2535"/>
      <c r="M167" s="2535"/>
      <c r="N167" s="2535"/>
      <c r="O167" s="2535"/>
      <c r="P167" s="2535"/>
      <c r="Q167" s="2535"/>
      <c r="R167" s="1308"/>
    </row>
    <row r="168" spans="1:22">
      <c r="D168" s="1295" t="s">
        <v>1636</v>
      </c>
      <c r="E168" s="1295"/>
      <c r="F168" s="1295"/>
      <c r="G168" s="1304">
        <f>+งวดงาน!L59</f>
        <v>120</v>
      </c>
      <c r="H168" s="1295" t="s">
        <v>1637</v>
      </c>
      <c r="I168" s="1295"/>
      <c r="J168" s="1295"/>
      <c r="K168" s="1295"/>
      <c r="L168" s="1295"/>
      <c r="M168" s="1295"/>
      <c r="N168" s="1295"/>
      <c r="O168" s="1295"/>
      <c r="P168" s="1295"/>
    </row>
    <row r="170" spans="1:22">
      <c r="A170" s="1292" t="s">
        <v>19</v>
      </c>
      <c r="D170" s="1295" t="s">
        <v>1648</v>
      </c>
    </row>
    <row r="172" spans="1:22">
      <c r="E172" s="1290" t="s">
        <v>1649</v>
      </c>
    </row>
    <row r="173" spans="1:22">
      <c r="G173" s="1290" t="s">
        <v>1650</v>
      </c>
    </row>
    <row r="175" spans="1:22">
      <c r="G175" s="1290" t="s">
        <v>1651</v>
      </c>
    </row>
  </sheetData>
  <mergeCells count="100">
    <mergeCell ref="D143:E143"/>
    <mergeCell ref="F143:H143"/>
    <mergeCell ref="L144:M144"/>
    <mergeCell ref="L134:M134"/>
    <mergeCell ref="F137:H137"/>
    <mergeCell ref="D140:E140"/>
    <mergeCell ref="F140:H140"/>
    <mergeCell ref="J141:K141"/>
    <mergeCell ref="L124:M124"/>
    <mergeCell ref="D130:E130"/>
    <mergeCell ref="F130:H130"/>
    <mergeCell ref="J131:K131"/>
    <mergeCell ref="D133:E133"/>
    <mergeCell ref="F133:H133"/>
    <mergeCell ref="F127:H127"/>
    <mergeCell ref="D120:E120"/>
    <mergeCell ref="F120:H120"/>
    <mergeCell ref="J121:K121"/>
    <mergeCell ref="D123:E123"/>
    <mergeCell ref="F123:H123"/>
    <mergeCell ref="J111:K111"/>
    <mergeCell ref="D113:E113"/>
    <mergeCell ref="F113:H113"/>
    <mergeCell ref="L114:M114"/>
    <mergeCell ref="F117:H117"/>
    <mergeCell ref="J101:K101"/>
    <mergeCell ref="D103:E103"/>
    <mergeCell ref="L104:M104"/>
    <mergeCell ref="F107:H107"/>
    <mergeCell ref="D110:E110"/>
    <mergeCell ref="F110:H110"/>
    <mergeCell ref="F103:H103"/>
    <mergeCell ref="D83:E83"/>
    <mergeCell ref="F83:H83"/>
    <mergeCell ref="L84:M84"/>
    <mergeCell ref="F97:H97"/>
    <mergeCell ref="D100:E100"/>
    <mergeCell ref="F100:H100"/>
    <mergeCell ref="D93:E93"/>
    <mergeCell ref="F87:H87"/>
    <mergeCell ref="D90:E90"/>
    <mergeCell ref="F90:H90"/>
    <mergeCell ref="J91:K91"/>
    <mergeCell ref="F93:H93"/>
    <mergeCell ref="L94:M94"/>
    <mergeCell ref="O32:P32"/>
    <mergeCell ref="F35:H35"/>
    <mergeCell ref="O38:P38"/>
    <mergeCell ref="O44:P44"/>
    <mergeCell ref="D73:E73"/>
    <mergeCell ref="F73:H73"/>
    <mergeCell ref="D165:Q167"/>
    <mergeCell ref="D164:E164"/>
    <mergeCell ref="F164:H164"/>
    <mergeCell ref="F147:H147"/>
    <mergeCell ref="D150:E150"/>
    <mergeCell ref="D161:Q162"/>
    <mergeCell ref="D153:Q154"/>
    <mergeCell ref="D160:E160"/>
    <mergeCell ref="F160:H160"/>
    <mergeCell ref="D156:E156"/>
    <mergeCell ref="F156:H156"/>
    <mergeCell ref="D157:Q158"/>
    <mergeCell ref="F150:H150"/>
    <mergeCell ref="D151:Q152"/>
    <mergeCell ref="A1:Q1"/>
    <mergeCell ref="F47:H47"/>
    <mergeCell ref="F41:H41"/>
    <mergeCell ref="D63:E63"/>
    <mergeCell ref="D50:E50"/>
    <mergeCell ref="F50:H50"/>
    <mergeCell ref="D53:E53"/>
    <mergeCell ref="F53:H53"/>
    <mergeCell ref="F57:H57"/>
    <mergeCell ref="D60:E60"/>
    <mergeCell ref="F60:H60"/>
    <mergeCell ref="F29:H29"/>
    <mergeCell ref="L54:M54"/>
    <mergeCell ref="J51:K51"/>
    <mergeCell ref="E4:F4"/>
    <mergeCell ref="F7:G7"/>
    <mergeCell ref="D80:E80"/>
    <mergeCell ref="J81:K81"/>
    <mergeCell ref="J61:K61"/>
    <mergeCell ref="F63:H63"/>
    <mergeCell ref="L64:M64"/>
    <mergeCell ref="F67:H67"/>
    <mergeCell ref="L74:M74"/>
    <mergeCell ref="F77:H77"/>
    <mergeCell ref="D70:E70"/>
    <mergeCell ref="J71:K71"/>
    <mergeCell ref="F70:H70"/>
    <mergeCell ref="F80:H80"/>
    <mergeCell ref="O26:P26"/>
    <mergeCell ref="M7:O7"/>
    <mergeCell ref="F8:G8"/>
    <mergeCell ref="F17:H17"/>
    <mergeCell ref="F23:H23"/>
    <mergeCell ref="F10:I10"/>
    <mergeCell ref="O20:P20"/>
  </mergeCells>
  <pageMargins left="0.7" right="0.45" top="0.75" bottom="0.75" header="0.3" footer="0.3"/>
  <pageSetup paperSize="9" orientation="portrait" verticalDpi="0" r:id="rId1"/>
  <headerFooter>
    <oddHeader>&amp;Rหน้าที่ &amp;P จาก &amp;N</oddHeader>
  </headerFooter>
  <rowBreaks count="2" manualBreakCount="2">
    <brk id="34" max="16383" man="1"/>
    <brk id="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rgb="FFFFC000"/>
  </sheetPr>
  <dimension ref="A1:AO127"/>
  <sheetViews>
    <sheetView workbookViewId="0">
      <selection sqref="A1:J1"/>
    </sheetView>
  </sheetViews>
  <sheetFormatPr defaultColWidth="9.140625" defaultRowHeight="21.75"/>
  <cols>
    <col min="1" max="1" width="9.140625" style="268"/>
    <col min="2" max="2" width="10.42578125" style="268" bestFit="1" customWidth="1"/>
    <col min="3" max="3" width="9.85546875" style="268" customWidth="1"/>
    <col min="4" max="4" width="11.5703125" style="268" customWidth="1"/>
    <col min="5" max="5" width="11" style="268" customWidth="1"/>
    <col min="6" max="6" width="10.7109375" style="268" bestFit="1" customWidth="1"/>
    <col min="7" max="7" width="10.7109375" style="268" customWidth="1"/>
    <col min="8" max="9" width="11.7109375" style="268" customWidth="1"/>
    <col min="10" max="10" width="13" style="268" customWidth="1"/>
    <col min="11" max="11" width="6.85546875" style="268" customWidth="1"/>
    <col min="12" max="12" width="11.5703125" style="268" customWidth="1"/>
    <col min="13" max="13" width="10.140625" style="268" customWidth="1"/>
    <col min="14" max="21" width="9.140625" style="268"/>
    <col min="22" max="22" width="10.42578125" style="268" customWidth="1"/>
    <col min="23" max="23" width="3.85546875" style="268" customWidth="1"/>
    <col min="24" max="16384" width="9.140625" style="268"/>
  </cols>
  <sheetData>
    <row r="1" spans="1:41">
      <c r="A1" s="2578" t="str">
        <f>ปร.5_Roads!C4</f>
        <v xml:space="preserve">บำรุงพิเศษ ซ่อมสร้างผิวทาง Asphaltic Concrete </v>
      </c>
      <c r="B1" s="2578"/>
      <c r="C1" s="2578"/>
      <c r="D1" s="2578"/>
      <c r="E1" s="2578"/>
      <c r="F1" s="2578"/>
      <c r="G1" s="2578"/>
      <c r="H1" s="2578"/>
      <c r="I1" s="2578"/>
      <c r="J1" s="2578"/>
      <c r="Q1" s="171"/>
      <c r="R1" s="171"/>
      <c r="S1" s="171"/>
      <c r="T1" s="171"/>
      <c r="U1" s="171"/>
      <c r="V1" s="171"/>
      <c r="AH1" s="269"/>
      <c r="AI1" s="269"/>
      <c r="AJ1" s="270"/>
      <c r="AK1" s="270"/>
      <c r="AL1" s="270"/>
      <c r="AM1" s="270"/>
      <c r="AN1" s="270"/>
      <c r="AO1" s="270"/>
    </row>
    <row r="2" spans="1:41" s="270" customFormat="1">
      <c r="B2" s="480" t="str">
        <f>+ปร.5_Roads!C6</f>
        <v>ปน.4031</v>
      </c>
      <c r="C2" s="270" t="str">
        <f>+ปร.5_Roads!F6</f>
        <v>แยกทางหลวงหมายเลข 4157-บ้านปาตา</v>
      </c>
      <c r="H2" s="270" t="str">
        <f>+ปร.5_Roads!C7</f>
        <v>อำเภอ  ปะนาเระ,ยะหริ่ง จังหวัด ปัตตานี</v>
      </c>
      <c r="Q2" s="353"/>
      <c r="R2" s="353"/>
      <c r="S2" s="353"/>
      <c r="T2" s="353"/>
      <c r="U2" s="353"/>
      <c r="V2" s="353"/>
      <c r="AH2" s="271"/>
      <c r="AI2" s="271"/>
    </row>
    <row r="3" spans="1:41">
      <c r="C3" s="270" t="s">
        <v>540</v>
      </c>
      <c r="F3" s="2579" t="str">
        <f>+'NO DELETE'!AB4</f>
        <v>ไม่มี WIDENING</v>
      </c>
      <c r="G3" s="2579"/>
      <c r="Q3" s="171"/>
      <c r="R3" s="171"/>
      <c r="S3" s="171"/>
      <c r="T3" s="171"/>
      <c r="U3" s="171"/>
      <c r="V3" s="171"/>
      <c r="AH3" s="271"/>
      <c r="AI3" s="271"/>
      <c r="AJ3" s="270"/>
      <c r="AK3" s="270"/>
      <c r="AL3" s="270"/>
      <c r="AM3" s="270"/>
      <c r="AN3" s="270"/>
      <c r="AO3" s="270"/>
    </row>
    <row r="4" spans="1:41" ht="22.5" customHeight="1">
      <c r="A4" s="2581" t="s">
        <v>1233</v>
      </c>
      <c r="B4" s="2581"/>
      <c r="C4" s="2581"/>
      <c r="D4" s="2581"/>
      <c r="E4" s="2581"/>
      <c r="F4" s="2581"/>
      <c r="G4" s="2581"/>
      <c r="H4" s="2581"/>
      <c r="I4" s="2581"/>
      <c r="J4" s="2581"/>
      <c r="AH4" s="271"/>
      <c r="AI4" s="271"/>
      <c r="AJ4" s="271"/>
      <c r="AK4" s="271"/>
      <c r="AL4" s="271"/>
      <c r="AM4" s="271"/>
      <c r="AN4" s="271"/>
      <c r="AO4" s="271"/>
    </row>
    <row r="5" spans="1:41" ht="39" customHeight="1">
      <c r="A5" s="2582" t="s">
        <v>247</v>
      </c>
      <c r="B5" s="2582"/>
      <c r="C5" s="272" t="s">
        <v>248</v>
      </c>
      <c r="D5" s="272" t="s">
        <v>249</v>
      </c>
      <c r="E5" s="272" t="s">
        <v>21</v>
      </c>
      <c r="F5" s="2583" t="s">
        <v>391</v>
      </c>
      <c r="G5" s="272" t="s">
        <v>250</v>
      </c>
      <c r="H5" s="1025" t="s">
        <v>251</v>
      </c>
      <c r="I5" s="272" t="s">
        <v>252</v>
      </c>
      <c r="J5" s="272" t="s">
        <v>395</v>
      </c>
      <c r="AJ5" s="271"/>
      <c r="AK5" s="271"/>
      <c r="AL5" s="271"/>
      <c r="AM5" s="271"/>
      <c r="AN5" s="271"/>
      <c r="AO5" s="271"/>
    </row>
    <row r="6" spans="1:41">
      <c r="A6" s="2582"/>
      <c r="B6" s="2582"/>
      <c r="C6" s="273" t="s">
        <v>253</v>
      </c>
      <c r="D6" s="273" t="s">
        <v>253</v>
      </c>
      <c r="E6" s="273" t="s">
        <v>254</v>
      </c>
      <c r="F6" s="2584"/>
      <c r="G6" s="273" t="s">
        <v>255</v>
      </c>
      <c r="H6" s="273" t="s">
        <v>255</v>
      </c>
      <c r="I6" s="273" t="s">
        <v>397</v>
      </c>
      <c r="J6" s="274" t="s">
        <v>396</v>
      </c>
      <c r="M6" s="268" t="s">
        <v>1812</v>
      </c>
      <c r="AJ6" s="271"/>
      <c r="AK6" s="271"/>
      <c r="AL6" s="271"/>
      <c r="AM6" s="271"/>
      <c r="AN6" s="271"/>
      <c r="AO6" s="271"/>
    </row>
    <row r="7" spans="1:41">
      <c r="A7" s="300"/>
      <c r="B7" s="300"/>
      <c r="C7" s="297"/>
      <c r="D7" s="297"/>
      <c r="E7" s="277">
        <f>(B7-A7)</f>
        <v>0</v>
      </c>
      <c r="F7" s="278">
        <v>0</v>
      </c>
      <c r="G7" s="279">
        <f>IF(E7&gt;0,IF('NO DELETE'!$AA$4=1,(E7-F7)*C7*1.01,(E7-F7)*C7*1),)</f>
        <v>0</v>
      </c>
      <c r="H7" s="279" t="str">
        <f t="shared" ref="H7:H12" si="0">IF(D7&gt;0,(E7-F7)*(D7*2),"")</f>
        <v/>
      </c>
      <c r="I7" s="280"/>
      <c r="J7" s="281"/>
      <c r="AJ7" s="271"/>
      <c r="AK7" s="271"/>
      <c r="AL7" s="271"/>
      <c r="AM7" s="271"/>
      <c r="AN7" s="271"/>
      <c r="AO7" s="271"/>
    </row>
    <row r="8" spans="1:41" ht="21.75" customHeight="1">
      <c r="A8" s="300"/>
      <c r="B8" s="275"/>
      <c r="C8" s="276"/>
      <c r="D8" s="276"/>
      <c r="E8" s="277">
        <f t="shared" ref="E8:E12" si="1">(B8-A8)</f>
        <v>0</v>
      </c>
      <c r="F8" s="278">
        <v>0</v>
      </c>
      <c r="G8" s="279">
        <f>IF(E8&gt;0,IF('NO DELETE'!$AA$4=1,(E8-F8)*C8*1.01,(E8-F8)*C8*1),)</f>
        <v>0</v>
      </c>
      <c r="H8" s="279" t="str">
        <f t="shared" si="0"/>
        <v/>
      </c>
      <c r="I8" s="280"/>
      <c r="J8" s="281"/>
      <c r="K8" s="282"/>
      <c r="AJ8" s="271"/>
      <c r="AK8" s="271"/>
      <c r="AL8" s="271"/>
      <c r="AM8" s="271"/>
      <c r="AN8" s="271"/>
      <c r="AO8" s="271"/>
    </row>
    <row r="9" spans="1:41" ht="21.75" customHeight="1">
      <c r="A9" s="300"/>
      <c r="B9" s="275"/>
      <c r="C9" s="276"/>
      <c r="D9" s="276"/>
      <c r="E9" s="277">
        <f t="shared" si="1"/>
        <v>0</v>
      </c>
      <c r="F9" s="278">
        <v>0</v>
      </c>
      <c r="G9" s="279">
        <f>IF(E9&gt;0,IF('NO DELETE'!$AA$4=1,(E9-F9)*C9*1.01,(E9-F9)*C9*1),)</f>
        <v>0</v>
      </c>
      <c r="H9" s="279" t="str">
        <f t="shared" si="0"/>
        <v/>
      </c>
      <c r="I9" s="280"/>
      <c r="J9" s="281"/>
      <c r="K9" s="282"/>
      <c r="AJ9" s="271"/>
      <c r="AK9" s="271"/>
      <c r="AL9" s="271"/>
      <c r="AM9" s="271"/>
      <c r="AN9" s="271"/>
      <c r="AO9" s="271"/>
    </row>
    <row r="10" spans="1:41" ht="22.5" customHeight="1">
      <c r="A10" s="275"/>
      <c r="B10" s="275"/>
      <c r="C10" s="276"/>
      <c r="D10" s="276"/>
      <c r="E10" s="277">
        <f t="shared" si="1"/>
        <v>0</v>
      </c>
      <c r="F10" s="278">
        <v>0</v>
      </c>
      <c r="G10" s="279">
        <f>IF(E10&gt;0,IF('NO DELETE'!$AA$4=1,(E10-F10)*C10*1.01,(E10-F10)*C10*1),)</f>
        <v>0</v>
      </c>
      <c r="H10" s="279" t="str">
        <f t="shared" si="0"/>
        <v/>
      </c>
      <c r="I10" s="280"/>
      <c r="J10" s="281"/>
      <c r="AJ10" s="271"/>
      <c r="AK10" s="271"/>
      <c r="AL10" s="271"/>
      <c r="AM10" s="271"/>
      <c r="AN10" s="271"/>
      <c r="AO10" s="271"/>
    </row>
    <row r="11" spans="1:41" ht="22.5" customHeight="1">
      <c r="A11" s="275"/>
      <c r="B11" s="275"/>
      <c r="C11" s="276"/>
      <c r="D11" s="276"/>
      <c r="E11" s="277">
        <f t="shared" si="1"/>
        <v>0</v>
      </c>
      <c r="F11" s="278">
        <v>0</v>
      </c>
      <c r="G11" s="279">
        <f>IF(E11&gt;0,IF('NO DELETE'!$AA$4=1,(E11-F11)*C11*1.01,(E11-F11)*C11*1),)</f>
        <v>0</v>
      </c>
      <c r="H11" s="279" t="str">
        <f t="shared" si="0"/>
        <v/>
      </c>
      <c r="I11" s="280"/>
      <c r="J11" s="281"/>
      <c r="AJ11" s="283"/>
      <c r="AK11" s="283"/>
      <c r="AL11" s="283"/>
      <c r="AM11" s="283"/>
      <c r="AN11" s="283"/>
      <c r="AO11" s="283"/>
    </row>
    <row r="12" spans="1:41" ht="22.5" customHeight="1">
      <c r="A12" s="275"/>
      <c r="B12" s="275"/>
      <c r="C12" s="276"/>
      <c r="D12" s="276"/>
      <c r="E12" s="277">
        <f t="shared" si="1"/>
        <v>0</v>
      </c>
      <c r="F12" s="278">
        <v>0</v>
      </c>
      <c r="G12" s="279">
        <f>IF(E12&gt;0,IF('NO DELETE'!$AA$4=1,(E12-F12)*C12*1.01,(E12-F12)*C12*1),)</f>
        <v>0</v>
      </c>
      <c r="H12" s="279" t="str">
        <f t="shared" si="0"/>
        <v/>
      </c>
      <c r="I12" s="280"/>
      <c r="J12" s="281"/>
      <c r="AJ12" s="283"/>
      <c r="AK12" s="283"/>
      <c r="AL12" s="283"/>
      <c r="AM12" s="283"/>
      <c r="AN12" s="283"/>
      <c r="AO12" s="283"/>
    </row>
    <row r="13" spans="1:41" ht="22.5" customHeight="1">
      <c r="A13" s="2587" t="s">
        <v>28</v>
      </c>
      <c r="B13" s="2587"/>
      <c r="C13" s="2587"/>
      <c r="D13" s="2587"/>
      <c r="E13" s="284">
        <f>SUM(E7:E12)</f>
        <v>0</v>
      </c>
      <c r="F13" s="285">
        <f>SUM(F7:F12)</f>
        <v>0</v>
      </c>
      <c r="G13" s="286">
        <f>ROUNDUP(SUM(G7:G12),)</f>
        <v>0</v>
      </c>
      <c r="H13" s="286">
        <f>ROUNDUP(SUM(H7:H12),)</f>
        <v>0</v>
      </c>
      <c r="I13" s="283"/>
      <c r="J13" s="171"/>
      <c r="L13" s="970"/>
      <c r="M13" s="970">
        <f>SUM(M7:M12)</f>
        <v>0</v>
      </c>
      <c r="AJ13" s="283"/>
      <c r="AK13" s="283"/>
      <c r="AL13" s="283"/>
      <c r="AM13" s="283"/>
      <c r="AN13" s="283"/>
      <c r="AO13" s="283"/>
    </row>
    <row r="14" spans="1:41" s="287" customFormat="1" ht="12" customHeight="1">
      <c r="K14" s="288"/>
      <c r="T14" s="268"/>
      <c r="AH14" s="268"/>
      <c r="AI14" s="268"/>
      <c r="AJ14" s="283"/>
      <c r="AK14" s="283"/>
      <c r="AL14" s="283"/>
      <c r="AM14" s="283"/>
      <c r="AN14" s="283"/>
      <c r="AO14" s="283"/>
    </row>
    <row r="15" spans="1:41" ht="21.75" customHeight="1">
      <c r="A15" s="2588" t="s">
        <v>654</v>
      </c>
      <c r="B15" s="2588"/>
      <c r="C15" s="2588"/>
      <c r="D15" s="2588"/>
      <c r="E15" s="2588"/>
      <c r="F15" s="2588"/>
      <c r="G15" s="2588"/>
      <c r="H15" s="2588"/>
      <c r="I15" s="2588"/>
      <c r="J15" s="2588"/>
      <c r="K15" s="288"/>
      <c r="L15" s="289"/>
      <c r="M15" s="289"/>
      <c r="N15" s="290"/>
      <c r="O15" s="291"/>
      <c r="P15" s="289"/>
      <c r="Q15" s="289"/>
      <c r="R15" s="289"/>
      <c r="S15" s="289"/>
      <c r="T15" s="289"/>
      <c r="U15" s="289"/>
      <c r="V15" s="289"/>
      <c r="AH15" s="292"/>
      <c r="AI15" s="292"/>
      <c r="AJ15" s="283"/>
      <c r="AK15" s="283"/>
      <c r="AL15" s="283"/>
      <c r="AM15" s="283"/>
      <c r="AN15" s="283"/>
      <c r="AO15" s="283"/>
    </row>
    <row r="16" spans="1:41" ht="21.75" customHeight="1">
      <c r="A16" s="2580" t="s">
        <v>247</v>
      </c>
      <c r="B16" s="2580"/>
      <c r="C16" s="293" t="s">
        <v>248</v>
      </c>
      <c r="D16" s="293" t="s">
        <v>249</v>
      </c>
      <c r="E16" s="293" t="s">
        <v>21</v>
      </c>
      <c r="F16" s="2585" t="s">
        <v>391</v>
      </c>
      <c r="G16" s="293" t="s">
        <v>250</v>
      </c>
      <c r="H16" s="293" t="s">
        <v>251</v>
      </c>
      <c r="I16" s="293" t="s">
        <v>252</v>
      </c>
      <c r="J16" s="293" t="s">
        <v>395</v>
      </c>
      <c r="K16" s="288"/>
      <c r="L16" s="289"/>
      <c r="M16" s="289"/>
      <c r="N16" s="290"/>
      <c r="O16" s="291"/>
      <c r="P16" s="289"/>
      <c r="Q16" s="289"/>
      <c r="R16" s="289"/>
      <c r="S16" s="289"/>
      <c r="T16" s="289"/>
      <c r="U16" s="294"/>
      <c r="V16" s="289"/>
      <c r="AH16" s="292"/>
      <c r="AI16" s="292"/>
      <c r="AJ16" s="283"/>
      <c r="AK16" s="283"/>
      <c r="AL16" s="283"/>
      <c r="AM16" s="283"/>
      <c r="AN16" s="283"/>
      <c r="AO16" s="283"/>
    </row>
    <row r="17" spans="1:41" ht="24">
      <c r="A17" s="2580"/>
      <c r="B17" s="2580"/>
      <c r="C17" s="295" t="s">
        <v>253</v>
      </c>
      <c r="D17" s="295" t="s">
        <v>253</v>
      </c>
      <c r="E17" s="295" t="s">
        <v>254</v>
      </c>
      <c r="F17" s="2586"/>
      <c r="G17" s="295" t="s">
        <v>255</v>
      </c>
      <c r="H17" s="295" t="s">
        <v>255</v>
      </c>
      <c r="I17" s="295" t="s">
        <v>397</v>
      </c>
      <c r="J17" s="296" t="s">
        <v>396</v>
      </c>
      <c r="K17" s="288"/>
      <c r="L17" s="289"/>
      <c r="N17" s="290"/>
      <c r="O17" s="291"/>
      <c r="P17" s="289"/>
      <c r="AH17" s="292"/>
      <c r="AI17" s="292"/>
      <c r="AJ17" s="283"/>
      <c r="AK17" s="283"/>
      <c r="AL17" s="283"/>
      <c r="AM17" s="283"/>
      <c r="AN17" s="283"/>
      <c r="AO17" s="283"/>
    </row>
    <row r="18" spans="1:41">
      <c r="A18" s="300">
        <v>3437</v>
      </c>
      <c r="B18" s="300">
        <v>4960</v>
      </c>
      <c r="C18" s="297">
        <v>6</v>
      </c>
      <c r="D18" s="297">
        <v>1</v>
      </c>
      <c r="E18" s="277">
        <f>(B18-A18)</f>
        <v>1523</v>
      </c>
      <c r="F18" s="278">
        <v>0</v>
      </c>
      <c r="G18" s="279">
        <f>IF(E18&gt;0,IF('NO DELETE'!$AA$4=1,(E18-F18)*C18*1.01,(E18-F18)*C18*1),)</f>
        <v>9138</v>
      </c>
      <c r="H18" s="279">
        <f>IF(D18&gt;0,(E18-F18)*(D18*2),"")</f>
        <v>3046</v>
      </c>
      <c r="I18" s="297">
        <v>0.12</v>
      </c>
      <c r="J18" s="298">
        <f>IF(I18&gt;0,(G18*I18+(0.5*(D18+D18+I18*2)*I18*(E18-F18))*2),0)</f>
        <v>1505.9423999999999</v>
      </c>
      <c r="L18" s="299"/>
      <c r="N18" s="289"/>
      <c r="O18" s="289"/>
      <c r="P18" s="289"/>
      <c r="AH18" s="292"/>
      <c r="AI18" s="292"/>
      <c r="AJ18" s="283"/>
      <c r="AK18" s="283"/>
      <c r="AL18" s="283"/>
      <c r="AM18" s="283"/>
      <c r="AN18" s="283"/>
      <c r="AO18" s="283"/>
    </row>
    <row r="19" spans="1:41">
      <c r="A19" s="300"/>
      <c r="B19" s="300"/>
      <c r="C19" s="297"/>
      <c r="D19" s="297"/>
      <c r="E19" s="277">
        <f>(B19-A19)</f>
        <v>0</v>
      </c>
      <c r="F19" s="278">
        <v>0</v>
      </c>
      <c r="G19" s="279">
        <f>IF(E19&gt;0,IF('NO DELETE'!$AA$4=1,(E19-F19)*C19*1.01,(E19-F19)*C19*1),)</f>
        <v>0</v>
      </c>
      <c r="H19" s="279" t="str">
        <f>IF(D19&gt;0,(E19-F19)*(D19*2),"")</f>
        <v/>
      </c>
      <c r="I19" s="297"/>
      <c r="J19" s="298">
        <f>IF(I19&gt;0,(G19*I19+(0.5*(D19+D19+I19*2)*I19*(E19-F19))*2),0)</f>
        <v>0</v>
      </c>
      <c r="L19" s="299"/>
      <c r="M19" s="289"/>
      <c r="N19" s="289"/>
      <c r="O19" s="289"/>
      <c r="P19" s="289"/>
      <c r="AH19" s="292"/>
      <c r="AI19" s="292"/>
      <c r="AJ19" s="283"/>
      <c r="AK19" s="283"/>
      <c r="AL19" s="283"/>
      <c r="AM19" s="283"/>
      <c r="AN19" s="283"/>
      <c r="AO19" s="283"/>
    </row>
    <row r="20" spans="1:41">
      <c r="A20" s="300"/>
      <c r="B20" s="300"/>
      <c r="C20" s="297"/>
      <c r="D20" s="297"/>
      <c r="E20" s="277">
        <f>(B20-A20)</f>
        <v>0</v>
      </c>
      <c r="F20" s="278">
        <v>0</v>
      </c>
      <c r="G20" s="279">
        <f>IF(E20&gt;0,IF('NO DELETE'!$AA$4=1,(E20-F20)*C20*1.01,(E20-F20)*C20*1),)</f>
        <v>0</v>
      </c>
      <c r="H20" s="279" t="str">
        <f>IF(D20&gt;0,(E20-F20)*(D20*2),"")</f>
        <v/>
      </c>
      <c r="I20" s="297"/>
      <c r="J20" s="298">
        <f>IF(I20&gt;0,(G20*I20+(0.5*(D20+D20+I20*2)*I20*(E20-F20))*2),0)</f>
        <v>0</v>
      </c>
      <c r="L20" s="299"/>
      <c r="AH20" s="292"/>
      <c r="AI20" s="292"/>
      <c r="AJ20" s="283"/>
      <c r="AK20" s="283"/>
      <c r="AL20" s="283"/>
      <c r="AM20" s="283"/>
      <c r="AN20" s="283"/>
      <c r="AO20" s="283"/>
    </row>
    <row r="21" spans="1:41">
      <c r="A21" s="300"/>
      <c r="B21" s="300"/>
      <c r="C21" s="297"/>
      <c r="D21" s="297"/>
      <c r="E21" s="277">
        <f>(B21-A21)</f>
        <v>0</v>
      </c>
      <c r="F21" s="278">
        <v>0</v>
      </c>
      <c r="G21" s="279">
        <f>IF(E21&gt;0,IF('NO DELETE'!$AA$4=1,(E21-F21)*C21*1.01,(E21-F21)*C21*1),)</f>
        <v>0</v>
      </c>
      <c r="H21" s="279" t="str">
        <f>IF(D21&gt;0,(E21-F21)*(D21*2),"")</f>
        <v/>
      </c>
      <c r="I21" s="297"/>
      <c r="J21" s="298">
        <f>IF(I21&gt;0,(G21*I21+(0.5*(D21+D21+I21*2)*I21*(E21-F21))*2),0)</f>
        <v>0</v>
      </c>
      <c r="V21" s="289"/>
      <c r="AH21" s="292"/>
      <c r="AI21" s="292"/>
      <c r="AJ21" s="283"/>
      <c r="AK21" s="283"/>
      <c r="AL21" s="283"/>
      <c r="AM21" s="283"/>
      <c r="AN21" s="283"/>
      <c r="AO21" s="283"/>
    </row>
    <row r="22" spans="1:41">
      <c r="A22" s="300"/>
      <c r="B22" s="300"/>
      <c r="C22" s="276"/>
      <c r="D22" s="276"/>
      <c r="E22" s="277">
        <f>(B22-A22)</f>
        <v>0</v>
      </c>
      <c r="F22" s="278">
        <v>0</v>
      </c>
      <c r="G22" s="279">
        <f>IF(E22&gt;0,IF('NO DELETE'!$AA$4=1,(E22-F22)*C22*1.01,(E22-F22)*C22*1),)</f>
        <v>0</v>
      </c>
      <c r="H22" s="279" t="str">
        <f>IF(D22&gt;0,(E22-F22)*(D22*2),"")</f>
        <v/>
      </c>
      <c r="I22" s="297"/>
      <c r="J22" s="298">
        <f>IF(I22&gt;0,(G22*I22+(0.5*(D22+D22+I22*2)*I22*(E22-F22))*2),0)</f>
        <v>0</v>
      </c>
      <c r="L22" s="290"/>
      <c r="AH22" s="292"/>
      <c r="AI22" s="292"/>
      <c r="AJ22" s="283"/>
      <c r="AK22" s="283"/>
      <c r="AL22" s="283"/>
      <c r="AM22" s="283"/>
      <c r="AN22" s="283"/>
      <c r="AO22" s="283"/>
    </row>
    <row r="23" spans="1:41" ht="22.5" customHeight="1">
      <c r="A23" s="2574" t="s">
        <v>28</v>
      </c>
      <c r="B23" s="2574"/>
      <c r="C23" s="2574"/>
      <c r="D23" s="2574"/>
      <c r="E23" s="301">
        <f t="shared" ref="E23:J23" si="2">ROUND(SUM(E18:E22),)</f>
        <v>1523</v>
      </c>
      <c r="F23" s="302">
        <f t="shared" si="2"/>
        <v>0</v>
      </c>
      <c r="G23" s="301">
        <f t="shared" si="2"/>
        <v>9138</v>
      </c>
      <c r="H23" s="301">
        <f t="shared" si="2"/>
        <v>3046</v>
      </c>
      <c r="I23" s="303"/>
      <c r="J23" s="301">
        <f t="shared" si="2"/>
        <v>1506</v>
      </c>
      <c r="L23" s="2022">
        <f>+G23+H23</f>
        <v>12184</v>
      </c>
      <c r="M23" s="970"/>
      <c r="AH23" s="292"/>
      <c r="AI23" s="292"/>
      <c r="AJ23" s="283"/>
      <c r="AK23" s="283"/>
      <c r="AL23" s="283"/>
      <c r="AM23" s="283"/>
      <c r="AN23" s="283"/>
      <c r="AO23" s="283"/>
    </row>
    <row r="24" spans="1:41" ht="12" customHeight="1">
      <c r="E24" s="171"/>
      <c r="F24" s="171"/>
      <c r="G24" s="171"/>
      <c r="H24" s="171"/>
      <c r="I24" s="171"/>
      <c r="AH24" s="292"/>
      <c r="AI24" s="292"/>
      <c r="AJ24" s="283"/>
      <c r="AK24" s="283"/>
      <c r="AL24" s="283"/>
      <c r="AM24" s="283"/>
      <c r="AN24" s="283"/>
      <c r="AO24" s="283"/>
    </row>
    <row r="25" spans="1:41" ht="22.5" customHeight="1">
      <c r="A25" s="2592" t="s">
        <v>1234</v>
      </c>
      <c r="B25" s="2592"/>
      <c r="C25" s="2592"/>
      <c r="D25" s="2592"/>
      <c r="E25" s="2592"/>
      <c r="F25" s="2592"/>
      <c r="G25" s="2592"/>
      <c r="H25" s="2592"/>
      <c r="I25" s="2592"/>
      <c r="J25" s="2592"/>
      <c r="K25" s="171"/>
      <c r="AH25" s="292"/>
      <c r="AI25" s="292"/>
      <c r="AJ25" s="283"/>
      <c r="AK25" s="283"/>
      <c r="AL25" s="283"/>
      <c r="AM25" s="283"/>
      <c r="AN25" s="283"/>
      <c r="AO25" s="283"/>
    </row>
    <row r="26" spans="1:41">
      <c r="A26" s="2593" t="s">
        <v>247</v>
      </c>
      <c r="B26" s="2593"/>
      <c r="C26" s="304" t="s">
        <v>248</v>
      </c>
      <c r="D26" s="304" t="s">
        <v>249</v>
      </c>
      <c r="E26" s="304" t="s">
        <v>21</v>
      </c>
      <c r="F26" s="2575" t="s">
        <v>391</v>
      </c>
      <c r="G26" s="304" t="s">
        <v>250</v>
      </c>
      <c r="H26" s="304" t="s">
        <v>251</v>
      </c>
      <c r="I26" s="2575" t="s">
        <v>651</v>
      </c>
      <c r="J26" s="304" t="s">
        <v>395</v>
      </c>
      <c r="V26" s="289"/>
      <c r="AH26" s="292"/>
      <c r="AI26" s="292"/>
      <c r="AJ26" s="283"/>
      <c r="AK26" s="283"/>
      <c r="AL26" s="283"/>
      <c r="AM26" s="283"/>
      <c r="AN26" s="283"/>
      <c r="AO26" s="283"/>
    </row>
    <row r="27" spans="1:41" ht="21.75" customHeight="1">
      <c r="A27" s="2593"/>
      <c r="B27" s="2593"/>
      <c r="C27" s="305" t="s">
        <v>253</v>
      </c>
      <c r="D27" s="305" t="s">
        <v>253</v>
      </c>
      <c r="E27" s="305" t="s">
        <v>254</v>
      </c>
      <c r="F27" s="2576"/>
      <c r="G27" s="305" t="s">
        <v>255</v>
      </c>
      <c r="H27" s="305" t="s">
        <v>255</v>
      </c>
      <c r="I27" s="2576"/>
      <c r="J27" s="306" t="s">
        <v>652</v>
      </c>
      <c r="AH27" s="292"/>
      <c r="AI27" s="292"/>
      <c r="AJ27" s="283"/>
      <c r="AK27" s="283"/>
      <c r="AL27" s="283"/>
      <c r="AM27" s="283"/>
      <c r="AN27" s="283"/>
      <c r="AO27" s="283"/>
    </row>
    <row r="28" spans="1:41" ht="21.75" customHeight="1">
      <c r="A28" s="300"/>
      <c r="B28" s="300"/>
      <c r="C28" s="297"/>
      <c r="D28" s="297"/>
      <c r="E28" s="277">
        <f t="shared" ref="E28" si="3">(B28-A28)</f>
        <v>0</v>
      </c>
      <c r="F28" s="278">
        <v>0</v>
      </c>
      <c r="G28" s="279">
        <f>IF(E28&gt;0,IF('NO DELETE'!$AA$4=1,(E28-F28)*C28*1.01,(E28-F28)*C28*1),)</f>
        <v>0</v>
      </c>
      <c r="H28" s="279" t="str">
        <f>IF(D28&gt;0,(E28-F28)*(D28*2),"")</f>
        <v/>
      </c>
      <c r="I28" s="297"/>
      <c r="J28" s="298">
        <f t="shared" ref="J28:J33" si="4">IF(I28&gt;0,(G28*I28+(0.5*(D28+D28+I28*2)*I28*(E28-F28))*2),0)</f>
        <v>0</v>
      </c>
      <c r="AH28" s="292"/>
      <c r="AI28" s="292"/>
      <c r="AJ28" s="283"/>
      <c r="AK28" s="283"/>
      <c r="AL28" s="283"/>
      <c r="AM28" s="283"/>
      <c r="AN28" s="283"/>
      <c r="AO28" s="283"/>
    </row>
    <row r="29" spans="1:41" ht="21.75" customHeight="1">
      <c r="A29" s="300"/>
      <c r="B29" s="300"/>
      <c r="C29" s="297"/>
      <c r="D29" s="297"/>
      <c r="E29" s="277">
        <f>(B29-A29)</f>
        <v>0</v>
      </c>
      <c r="F29" s="278">
        <v>0</v>
      </c>
      <c r="G29" s="279">
        <f>IF(E29&gt;0,IF('NO DELETE'!$AA$4=1,(E29-F29)*C29*1.01,(E29-F29)*C29*1),)</f>
        <v>0</v>
      </c>
      <c r="H29" s="279" t="str">
        <f>IF(D29&gt;0,(E29-F29)*(D29*2),"")</f>
        <v/>
      </c>
      <c r="I29" s="297"/>
      <c r="J29" s="298">
        <f t="shared" si="4"/>
        <v>0</v>
      </c>
      <c r="M29" s="970"/>
      <c r="AH29" s="292"/>
      <c r="AI29" s="292"/>
      <c r="AJ29" s="283"/>
      <c r="AK29" s="283"/>
      <c r="AL29" s="283"/>
      <c r="AM29" s="283"/>
      <c r="AN29" s="283"/>
      <c r="AO29" s="283"/>
    </row>
    <row r="30" spans="1:41">
      <c r="A30" s="300"/>
      <c r="B30" s="300"/>
      <c r="C30" s="297"/>
      <c r="D30" s="297"/>
      <c r="E30" s="277">
        <f>(B30-A30)</f>
        <v>0</v>
      </c>
      <c r="F30" s="278">
        <v>0</v>
      </c>
      <c r="G30" s="279">
        <f>IF(E30&gt;0,IF('NO DELETE'!$AA$4=1,(E30-F30)*C30*1.01,(E30-F30)*C30*1),)</f>
        <v>0</v>
      </c>
      <c r="H30" s="279" t="str">
        <f>IF(D30&gt;0,(E30-F30)*(D30*2),"")</f>
        <v/>
      </c>
      <c r="I30" s="297"/>
      <c r="J30" s="298">
        <f t="shared" si="4"/>
        <v>0</v>
      </c>
      <c r="L30" s="971"/>
      <c r="AH30" s="292"/>
      <c r="AI30" s="292"/>
      <c r="AJ30" s="283"/>
      <c r="AK30" s="283"/>
      <c r="AL30" s="283"/>
      <c r="AM30" s="283"/>
      <c r="AN30" s="283"/>
      <c r="AO30" s="283"/>
    </row>
    <row r="31" spans="1:41">
      <c r="A31" s="300"/>
      <c r="B31" s="300"/>
      <c r="C31" s="297"/>
      <c r="D31" s="297"/>
      <c r="E31" s="277">
        <f t="shared" ref="E31:E33" si="5">(B31-A31)</f>
        <v>0</v>
      </c>
      <c r="F31" s="278">
        <v>0</v>
      </c>
      <c r="G31" s="279">
        <f>IF(E31&gt;0,IF('NO DELETE'!$AA$4=1,(E31-F31)*C31*1.01,(E31-F31)*C31*1),)</f>
        <v>0</v>
      </c>
      <c r="H31" s="279" t="str">
        <f t="shared" ref="H31:H33" si="6">IF(D31&gt;0,(E31-F31)*(D31*2),"")</f>
        <v/>
      </c>
      <c r="I31" s="297"/>
      <c r="J31" s="298">
        <f t="shared" si="4"/>
        <v>0</v>
      </c>
      <c r="L31" s="972"/>
      <c r="AH31" s="292"/>
      <c r="AI31" s="292"/>
      <c r="AJ31" s="283"/>
      <c r="AK31" s="283"/>
      <c r="AL31" s="283"/>
      <c r="AM31" s="283"/>
      <c r="AN31" s="283"/>
      <c r="AO31" s="283"/>
    </row>
    <row r="32" spans="1:41">
      <c r="A32" s="300"/>
      <c r="B32" s="300"/>
      <c r="C32" s="297"/>
      <c r="D32" s="297"/>
      <c r="E32" s="277">
        <f t="shared" si="5"/>
        <v>0</v>
      </c>
      <c r="F32" s="278">
        <v>0</v>
      </c>
      <c r="G32" s="279">
        <f>IF(E32&gt;0,IF('NO DELETE'!$AA$4=1,(E32-F32)*C32*1.01,(E32-F32)*C32*1),)</f>
        <v>0</v>
      </c>
      <c r="H32" s="279" t="str">
        <f t="shared" si="6"/>
        <v/>
      </c>
      <c r="I32" s="297"/>
      <c r="J32" s="298">
        <f t="shared" si="4"/>
        <v>0</v>
      </c>
      <c r="AH32" s="292"/>
      <c r="AI32" s="292"/>
      <c r="AJ32" s="283"/>
      <c r="AK32" s="283"/>
      <c r="AL32" s="283"/>
      <c r="AM32" s="283"/>
      <c r="AN32" s="283"/>
      <c r="AO32" s="283"/>
    </row>
    <row r="33" spans="1:41" s="307" customFormat="1">
      <c r="A33" s="275"/>
      <c r="B33" s="278"/>
      <c r="C33" s="276"/>
      <c r="D33" s="276"/>
      <c r="E33" s="277">
        <f t="shared" si="5"/>
        <v>0</v>
      </c>
      <c r="F33" s="278">
        <v>0</v>
      </c>
      <c r="G33" s="279">
        <f>IF(E33&gt;0,IF('NO DELETE'!$AA$4=1,(E33-F33)*C33*1.01,(E33-F33)*C33*1),)</f>
        <v>0</v>
      </c>
      <c r="H33" s="279" t="str">
        <f t="shared" si="6"/>
        <v/>
      </c>
      <c r="I33" s="297"/>
      <c r="J33" s="298">
        <f t="shared" si="4"/>
        <v>0</v>
      </c>
      <c r="AH33" s="271"/>
      <c r="AI33" s="271"/>
      <c r="AJ33" s="283"/>
      <c r="AK33" s="283"/>
      <c r="AL33" s="283"/>
      <c r="AM33" s="283"/>
      <c r="AN33" s="283"/>
      <c r="AO33" s="283"/>
    </row>
    <row r="34" spans="1:41" ht="21.75" customHeight="1">
      <c r="A34" s="2600" t="s">
        <v>28</v>
      </c>
      <c r="B34" s="2600"/>
      <c r="C34" s="2600"/>
      <c r="D34" s="2600"/>
      <c r="E34" s="308">
        <f t="shared" ref="E34:J34" si="7">ROUND(SUM(E28:E33),)</f>
        <v>0</v>
      </c>
      <c r="F34" s="302">
        <f t="shared" si="7"/>
        <v>0</v>
      </c>
      <c r="G34" s="308">
        <f t="shared" si="7"/>
        <v>0</v>
      </c>
      <c r="H34" s="308">
        <f t="shared" si="7"/>
        <v>0</v>
      </c>
      <c r="I34" s="303"/>
      <c r="J34" s="308">
        <f t="shared" si="7"/>
        <v>0</v>
      </c>
      <c r="L34" s="970"/>
      <c r="V34" s="289"/>
      <c r="AH34" s="283"/>
      <c r="AI34" s="283"/>
      <c r="AJ34" s="283"/>
      <c r="AK34" s="283"/>
      <c r="AL34" s="283"/>
      <c r="AM34" s="283"/>
      <c r="AN34" s="283"/>
      <c r="AO34" s="283"/>
    </row>
    <row r="35" spans="1:41" ht="12" customHeight="1">
      <c r="AH35" s="283"/>
      <c r="AI35" s="283"/>
      <c r="AJ35" s="283"/>
      <c r="AK35" s="283"/>
      <c r="AL35" s="283"/>
      <c r="AM35" s="283"/>
      <c r="AN35" s="283"/>
      <c r="AO35" s="283"/>
    </row>
    <row r="36" spans="1:41" ht="21.75" customHeight="1">
      <c r="D36" s="2598" t="s">
        <v>256</v>
      </c>
      <c r="E36" s="2598"/>
      <c r="F36" s="2599">
        <f>+(E34+E23+E13)/1000-(F34/1000)</f>
        <v>1.5229999999999999</v>
      </c>
      <c r="G36" s="2599"/>
      <c r="H36" s="309" t="s">
        <v>257</v>
      </c>
      <c r="K36" s="289"/>
      <c r="AH36" s="283"/>
      <c r="AI36" s="283"/>
      <c r="AJ36" s="283"/>
      <c r="AK36" s="283"/>
      <c r="AL36" s="283"/>
      <c r="AM36" s="283"/>
      <c r="AN36" s="283"/>
      <c r="AO36" s="283"/>
    </row>
    <row r="37" spans="1:41" ht="21.75" customHeight="1">
      <c r="K37" s="289"/>
      <c r="Q37" s="289"/>
      <c r="AH37" s="283"/>
      <c r="AI37" s="283"/>
      <c r="AJ37" s="283"/>
      <c r="AK37" s="283"/>
      <c r="AL37" s="283"/>
      <c r="AM37" s="283"/>
      <c r="AN37" s="283"/>
      <c r="AO37" s="283"/>
    </row>
    <row r="38" spans="1:41" ht="21.75" customHeight="1">
      <c r="A38" s="2594" t="s">
        <v>1212</v>
      </c>
      <c r="B38" s="2594"/>
      <c r="C38" s="2594"/>
      <c r="D38" s="2594"/>
      <c r="E38" s="2594"/>
      <c r="F38" s="2594"/>
      <c r="G38" s="2594"/>
      <c r="H38" s="2594"/>
      <c r="I38" s="2594"/>
      <c r="J38" s="2594"/>
      <c r="K38" s="2594"/>
      <c r="L38" s="171"/>
      <c r="M38" s="171"/>
      <c r="N38" s="171"/>
    </row>
    <row r="39" spans="1:41" ht="24.95" customHeight="1">
      <c r="A39" s="2593" t="s">
        <v>247</v>
      </c>
      <c r="B39" s="2593"/>
      <c r="C39" s="304" t="s">
        <v>21</v>
      </c>
      <c r="D39" s="2575" t="s">
        <v>391</v>
      </c>
      <c r="E39" s="2596" t="s">
        <v>1744</v>
      </c>
      <c r="F39" s="2575" t="s">
        <v>1745</v>
      </c>
      <c r="G39" s="2575" t="s">
        <v>1746</v>
      </c>
      <c r="H39" s="2575" t="s">
        <v>1748</v>
      </c>
      <c r="I39" s="310" t="s">
        <v>395</v>
      </c>
      <c r="J39" s="310" t="s">
        <v>395</v>
      </c>
      <c r="K39" s="2595" t="s">
        <v>1747</v>
      </c>
    </row>
    <row r="40" spans="1:41" ht="24.95" customHeight="1">
      <c r="A40" s="2593"/>
      <c r="B40" s="2593"/>
      <c r="C40" s="305" t="s">
        <v>254</v>
      </c>
      <c r="D40" s="2576"/>
      <c r="E40" s="2597"/>
      <c r="F40" s="2576"/>
      <c r="G40" s="2576"/>
      <c r="H40" s="2576"/>
      <c r="I40" s="311" t="s">
        <v>602</v>
      </c>
      <c r="J40" s="311" t="s">
        <v>1213</v>
      </c>
      <c r="K40" s="2595"/>
    </row>
    <row r="41" spans="1:41">
      <c r="A41" s="300"/>
      <c r="B41" s="300"/>
      <c r="C41" s="277">
        <f>(B41-A41)</f>
        <v>0</v>
      </c>
      <c r="D41" s="297"/>
      <c r="E41" s="297"/>
      <c r="F41" s="312"/>
      <c r="G41" s="312"/>
      <c r="H41" s="312"/>
      <c r="I41" s="313">
        <f>0.5*((E41+2*F41)+(E41+2*F41+2*G41))*G41*C41*K41</f>
        <v>0</v>
      </c>
      <c r="J41" s="314">
        <f>+H41*C41*K41</f>
        <v>0</v>
      </c>
      <c r="K41" s="315">
        <v>2</v>
      </c>
    </row>
    <row r="42" spans="1:41">
      <c r="A42" s="300"/>
      <c r="B42" s="300"/>
      <c r="C42" s="277">
        <f>(B42-A42)</f>
        <v>0</v>
      </c>
      <c r="D42" s="297"/>
      <c r="E42" s="297"/>
      <c r="F42" s="312"/>
      <c r="G42" s="312"/>
      <c r="H42" s="312"/>
      <c r="I42" s="313">
        <f>0.5*((E42+2*F42)+(E42+2*F42+2*G42))*G42*C42*K42</f>
        <v>0</v>
      </c>
      <c r="J42" s="314">
        <f>0.5*((E42+2*(F42+G42+H42)+E42+2*(F42+G42))*H42*K42)*(C42-D42)</f>
        <v>0</v>
      </c>
      <c r="K42" s="316"/>
    </row>
    <row r="43" spans="1:41">
      <c r="A43" s="300"/>
      <c r="B43" s="300"/>
      <c r="C43" s="277">
        <f>(B43-A43)</f>
        <v>0</v>
      </c>
      <c r="D43" s="297"/>
      <c r="E43" s="297"/>
      <c r="F43" s="312"/>
      <c r="G43" s="312"/>
      <c r="H43" s="312"/>
      <c r="I43" s="313">
        <f>0.5*((E43+2*F43)+(E43+2*F43+2*G43))*G43*C43*K43</f>
        <v>0</v>
      </c>
      <c r="J43" s="314">
        <f>0.5*((E43+2*(F43+G43+H43)+E43+2*(F43+G43))*H43*K43)*(C43-D43)</f>
        <v>0</v>
      </c>
      <c r="K43" s="316"/>
    </row>
    <row r="44" spans="1:41">
      <c r="A44" s="300"/>
      <c r="B44" s="300"/>
      <c r="C44" s="277">
        <f>(B44-A44)</f>
        <v>0</v>
      </c>
      <c r="D44" s="297"/>
      <c r="E44" s="297"/>
      <c r="F44" s="312"/>
      <c r="G44" s="312"/>
      <c r="H44" s="312"/>
      <c r="I44" s="313">
        <f>0.5*((E44+2*F44)+(E44+2*F44+2*G44))*G44*C44*K44</f>
        <v>0</v>
      </c>
      <c r="J44" s="314">
        <f>0.5*((E44+2*(F44+G44+H44)+E44+2*(F44+G44))*H44*K44)*(C44-D44)</f>
        <v>0</v>
      </c>
      <c r="K44" s="316"/>
    </row>
    <row r="45" spans="1:41">
      <c r="A45" s="300"/>
      <c r="B45" s="300"/>
      <c r="C45" s="277">
        <f>(B45-A45)</f>
        <v>0</v>
      </c>
      <c r="D45" s="297"/>
      <c r="E45" s="297"/>
      <c r="F45" s="312"/>
      <c r="G45" s="312"/>
      <c r="H45" s="312"/>
      <c r="I45" s="313">
        <f>0.5*((E45+2*F45)+(E45+2*F45+2*G45))*G45*C45*K45</f>
        <v>0</v>
      </c>
      <c r="J45" s="314">
        <f>0.5*((E45+2*(F45+G45+H45)+E45+2*(F45+G45))*H45*K45)*(C45-D45)</f>
        <v>0</v>
      </c>
      <c r="K45" s="316"/>
    </row>
    <row r="46" spans="1:41">
      <c r="D46" s="317"/>
      <c r="E46" s="317"/>
      <c r="G46" s="318"/>
      <c r="I46" s="319">
        <f>ROUNDDOWN(SUM(I41:I45),)</f>
        <v>0</v>
      </c>
      <c r="J46" s="319">
        <f>ROUNDDOWN(SUM(J41:J45),)</f>
        <v>0</v>
      </c>
    </row>
    <row r="47" spans="1:41">
      <c r="D47" s="317"/>
      <c r="E47" s="317"/>
      <c r="G47" s="318"/>
      <c r="I47" s="1060"/>
      <c r="J47" s="1060"/>
    </row>
    <row r="48" spans="1:41">
      <c r="A48" s="2577" t="str">
        <f>A1</f>
        <v xml:space="preserve">บำรุงพิเศษ ซ่อมสร้างผิวทาง Asphaltic Concrete </v>
      </c>
      <c r="B48" s="2577"/>
      <c r="C48" s="2577"/>
      <c r="D48" s="2577"/>
      <c r="E48" s="2577"/>
      <c r="F48" s="2577"/>
      <c r="G48" s="2577"/>
      <c r="H48" s="2577"/>
      <c r="I48" s="2577"/>
      <c r="J48" s="2577"/>
      <c r="K48" s="2577"/>
    </row>
    <row r="49" spans="1:41">
      <c r="B49" s="268" t="str">
        <f>B2</f>
        <v>ปน.4031</v>
      </c>
      <c r="C49" s="268" t="str">
        <f>C2</f>
        <v>แยกทางหลวงหมายเลข 4157-บ้านปาตา</v>
      </c>
      <c r="D49" s="317"/>
      <c r="E49" s="317"/>
      <c r="G49" s="318"/>
      <c r="H49" s="268" t="str">
        <f>H2</f>
        <v>อำเภอ  ปะนาเระ,ยะหริ่ง จังหวัด ปัตตานี</v>
      </c>
      <c r="I49" s="1060"/>
      <c r="J49" s="1060"/>
    </row>
    <row r="64" spans="1:41" ht="21.75" customHeight="1">
      <c r="A64" s="2589" t="s">
        <v>541</v>
      </c>
      <c r="B64" s="2590"/>
      <c r="C64" s="2590"/>
      <c r="D64" s="2590"/>
      <c r="E64" s="2590"/>
      <c r="F64" s="2590"/>
      <c r="G64" s="2590"/>
      <c r="H64" s="2590"/>
      <c r="I64" s="2590"/>
      <c r="J64" s="2591"/>
      <c r="K64" s="289"/>
      <c r="AH64" s="283"/>
      <c r="AI64" s="283"/>
      <c r="AJ64" s="283"/>
      <c r="AK64" s="283"/>
      <c r="AL64" s="283"/>
      <c r="AM64" s="283"/>
      <c r="AN64" s="283"/>
      <c r="AO64" s="283"/>
    </row>
    <row r="65" spans="1:41" ht="21.75" customHeight="1">
      <c r="A65" s="2542" t="s">
        <v>458</v>
      </c>
      <c r="B65" s="2542" t="s">
        <v>542</v>
      </c>
      <c r="C65" s="2542" t="s">
        <v>258</v>
      </c>
      <c r="D65" s="2542" t="s">
        <v>293</v>
      </c>
      <c r="E65" s="2549" t="s">
        <v>1750</v>
      </c>
      <c r="F65" s="2550"/>
      <c r="G65" s="2551"/>
      <c r="H65" s="2554" t="s">
        <v>1752</v>
      </c>
      <c r="I65" s="2542" t="s">
        <v>294</v>
      </c>
      <c r="J65" s="2556" t="s">
        <v>1749</v>
      </c>
      <c r="AH65" s="283"/>
      <c r="AI65" s="283"/>
      <c r="AJ65" s="283"/>
      <c r="AK65" s="283"/>
      <c r="AL65" s="283"/>
      <c r="AM65" s="283"/>
      <c r="AN65" s="283"/>
      <c r="AO65" s="283"/>
    </row>
    <row r="66" spans="1:41" ht="21.75" customHeight="1">
      <c r="A66" s="2543"/>
      <c r="B66" s="2543"/>
      <c r="C66" s="2543"/>
      <c r="D66" s="2543"/>
      <c r="E66" s="320" t="s">
        <v>459</v>
      </c>
      <c r="F66" s="2552" t="s">
        <v>1751</v>
      </c>
      <c r="G66" s="2553"/>
      <c r="H66" s="2555"/>
      <c r="I66" s="2543"/>
      <c r="J66" s="2557"/>
      <c r="AH66" s="283"/>
      <c r="AI66" s="283"/>
      <c r="AJ66" s="283"/>
      <c r="AK66" s="283"/>
      <c r="AL66" s="283"/>
      <c r="AM66" s="283"/>
      <c r="AN66" s="283"/>
      <c r="AO66" s="283"/>
    </row>
    <row r="67" spans="1:41" ht="21.75" customHeight="1">
      <c r="A67" s="315">
        <v>1</v>
      </c>
      <c r="B67" s="321">
        <v>0</v>
      </c>
      <c r="C67" s="321">
        <v>1000</v>
      </c>
      <c r="D67" s="322">
        <f t="shared" ref="D67:D72" si="8">+C67-B67</f>
        <v>1000</v>
      </c>
      <c r="E67" s="323">
        <v>3.5</v>
      </c>
      <c r="F67" s="324">
        <v>1</v>
      </c>
      <c r="G67" s="323">
        <v>1.5</v>
      </c>
      <c r="H67" s="323">
        <f t="shared" ref="H67:H72" si="9">+ROUND(SQRT(E67^2+(G67*E67)^2),2)</f>
        <v>6.31</v>
      </c>
      <c r="I67" s="322">
        <f t="shared" ref="I67:I72" si="10">+SQRT(E67^2+(E67*G67)^2)*D67</f>
        <v>6309.7147320619815</v>
      </c>
      <c r="J67" s="323" t="s">
        <v>582</v>
      </c>
      <c r="K67" s="289"/>
      <c r="AH67" s="283"/>
      <c r="AI67" s="283"/>
      <c r="AJ67" s="283"/>
      <c r="AK67" s="283"/>
      <c r="AL67" s="283"/>
      <c r="AM67" s="283"/>
      <c r="AN67" s="283"/>
      <c r="AO67" s="283"/>
    </row>
    <row r="68" spans="1:41" ht="21.75" customHeight="1">
      <c r="A68" s="315">
        <v>2</v>
      </c>
      <c r="B68" s="321"/>
      <c r="C68" s="321"/>
      <c r="D68" s="322">
        <f t="shared" si="8"/>
        <v>0</v>
      </c>
      <c r="E68" s="323">
        <v>2</v>
      </c>
      <c r="F68" s="324">
        <v>1</v>
      </c>
      <c r="G68" s="323">
        <v>1.5</v>
      </c>
      <c r="H68" s="323">
        <f t="shared" si="9"/>
        <v>3.61</v>
      </c>
      <c r="I68" s="322">
        <f t="shared" si="10"/>
        <v>0</v>
      </c>
      <c r="J68" s="323" t="s">
        <v>280</v>
      </c>
      <c r="K68" s="289"/>
      <c r="AH68" s="283"/>
      <c r="AI68" s="283"/>
      <c r="AJ68" s="283"/>
      <c r="AK68" s="283"/>
      <c r="AL68" s="283"/>
      <c r="AM68" s="283"/>
      <c r="AN68" s="283"/>
      <c r="AO68" s="283"/>
    </row>
    <row r="69" spans="1:41">
      <c r="A69" s="315">
        <v>3</v>
      </c>
      <c r="B69" s="321"/>
      <c r="C69" s="321"/>
      <c r="D69" s="322">
        <f t="shared" si="8"/>
        <v>0</v>
      </c>
      <c r="E69" s="323"/>
      <c r="F69" s="324"/>
      <c r="G69" s="323"/>
      <c r="H69" s="323">
        <f t="shared" si="9"/>
        <v>0</v>
      </c>
      <c r="I69" s="322">
        <f t="shared" si="10"/>
        <v>0</v>
      </c>
      <c r="J69" s="323"/>
    </row>
    <row r="70" spans="1:41">
      <c r="A70" s="315">
        <v>4</v>
      </c>
      <c r="B70" s="321"/>
      <c r="C70" s="321"/>
      <c r="D70" s="322">
        <f t="shared" si="8"/>
        <v>0</v>
      </c>
      <c r="E70" s="323"/>
      <c r="F70" s="324"/>
      <c r="G70" s="323"/>
      <c r="H70" s="323">
        <f t="shared" si="9"/>
        <v>0</v>
      </c>
      <c r="I70" s="322">
        <f t="shared" si="10"/>
        <v>0</v>
      </c>
      <c r="J70" s="323"/>
    </row>
    <row r="71" spans="1:41">
      <c r="A71" s="315">
        <v>5</v>
      </c>
      <c r="B71" s="321"/>
      <c r="C71" s="321"/>
      <c r="D71" s="322">
        <f t="shared" si="8"/>
        <v>0</v>
      </c>
      <c r="E71" s="323"/>
      <c r="F71" s="324"/>
      <c r="G71" s="323"/>
      <c r="H71" s="323">
        <f t="shared" si="9"/>
        <v>0</v>
      </c>
      <c r="I71" s="322">
        <f t="shared" si="10"/>
        <v>0</v>
      </c>
      <c r="J71" s="323"/>
    </row>
    <row r="72" spans="1:41">
      <c r="A72" s="315">
        <v>6</v>
      </c>
      <c r="B72" s="321"/>
      <c r="C72" s="321"/>
      <c r="D72" s="322">
        <f t="shared" si="8"/>
        <v>0</v>
      </c>
      <c r="E72" s="323"/>
      <c r="F72" s="324"/>
      <c r="G72" s="323"/>
      <c r="H72" s="323">
        <f t="shared" si="9"/>
        <v>0</v>
      </c>
      <c r="I72" s="322">
        <f t="shared" si="10"/>
        <v>0</v>
      </c>
      <c r="J72" s="323"/>
      <c r="K72" s="171"/>
    </row>
    <row r="73" spans="1:41">
      <c r="B73" s="287"/>
      <c r="C73" s="287"/>
      <c r="D73" s="325">
        <f>ROUND(SUM(D67:D72),)</f>
        <v>1000</v>
      </c>
      <c r="G73" s="287"/>
      <c r="H73" s="287"/>
      <c r="I73" s="325">
        <f>ROUND(SUM(I67:I72),)</f>
        <v>6310</v>
      </c>
      <c r="K73" s="171"/>
    </row>
    <row r="74" spans="1:41">
      <c r="K74" s="171"/>
    </row>
    <row r="75" spans="1:41">
      <c r="K75" s="171"/>
    </row>
    <row r="76" spans="1:41">
      <c r="K76" s="171"/>
    </row>
    <row r="77" spans="1:41">
      <c r="K77" s="171"/>
    </row>
    <row r="78" spans="1:41">
      <c r="A78" s="171"/>
      <c r="J78" s="171"/>
      <c r="K78" s="171"/>
    </row>
    <row r="79" spans="1:41">
      <c r="A79" s="171"/>
      <c r="B79" s="326"/>
      <c r="C79" s="326"/>
      <c r="D79" s="327"/>
      <c r="E79" s="326"/>
      <c r="F79" s="326"/>
      <c r="G79" s="326"/>
      <c r="H79" s="171"/>
      <c r="I79" s="171"/>
      <c r="J79" s="171"/>
      <c r="K79" s="328"/>
    </row>
    <row r="80" spans="1:41">
      <c r="A80" s="326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</row>
    <row r="81" spans="1:14">
      <c r="A81" s="326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</row>
    <row r="82" spans="1:14" ht="24">
      <c r="A82" s="2539" t="s">
        <v>465</v>
      </c>
      <c r="B82" s="2540"/>
      <c r="C82" s="2540"/>
      <c r="D82" s="2540"/>
      <c r="E82" s="2540"/>
      <c r="F82" s="2540"/>
      <c r="G82" s="2540"/>
      <c r="H82" s="2540"/>
      <c r="I82" s="2540"/>
      <c r="J82" s="2541"/>
      <c r="K82" s="171"/>
      <c r="L82" s="2558" t="s">
        <v>466</v>
      </c>
      <c r="N82" s="171"/>
    </row>
    <row r="83" spans="1:14">
      <c r="A83" s="329" t="s">
        <v>494</v>
      </c>
      <c r="B83" s="330" t="s">
        <v>439</v>
      </c>
      <c r="C83" s="330" t="s">
        <v>438</v>
      </c>
      <c r="D83" s="330" t="s">
        <v>282</v>
      </c>
      <c r="E83" s="330" t="s">
        <v>283</v>
      </c>
      <c r="F83" s="2561" t="s">
        <v>1235</v>
      </c>
      <c r="G83" s="2562"/>
      <c r="H83" s="2562"/>
      <c r="I83" s="2563"/>
      <c r="J83" s="330" t="s">
        <v>496</v>
      </c>
      <c r="K83" s="171"/>
      <c r="L83" s="2559"/>
      <c r="N83" s="171"/>
    </row>
    <row r="84" spans="1:14" ht="24.75">
      <c r="A84" s="332" t="s">
        <v>495</v>
      </c>
      <c r="B84" s="332" t="s">
        <v>495</v>
      </c>
      <c r="C84" s="332" t="s">
        <v>495</v>
      </c>
      <c r="D84" s="332" t="s">
        <v>1236</v>
      </c>
      <c r="E84" s="332" t="s">
        <v>1237</v>
      </c>
      <c r="F84" s="333" t="s">
        <v>280</v>
      </c>
      <c r="G84" s="331" t="s">
        <v>281</v>
      </c>
      <c r="H84" s="333" t="s">
        <v>280</v>
      </c>
      <c r="I84" s="331" t="s">
        <v>281</v>
      </c>
      <c r="J84" s="332" t="s">
        <v>497</v>
      </c>
      <c r="K84" s="171"/>
      <c r="L84" s="2560"/>
      <c r="N84" s="171"/>
    </row>
    <row r="85" spans="1:14" ht="24">
      <c r="A85" s="334">
        <v>0.5</v>
      </c>
      <c r="B85" s="335">
        <v>0.5</v>
      </c>
      <c r="C85" s="1040">
        <v>1</v>
      </c>
      <c r="D85" s="336">
        <f>ROUND((SQRT((B85^2+B85^2))+A85+SQRT((1^2+0.5^2)))*0.07,3)</f>
        <v>0.16300000000000001</v>
      </c>
      <c r="E85" s="337">
        <f>F85*0.07</f>
        <v>0.16275000000000003</v>
      </c>
      <c r="F85" s="338">
        <f>ROUND((SQRT((B85^2+B85^2))+A85+SQRT((1^2+0.5^2))),3)</f>
        <v>2.3250000000000002</v>
      </c>
      <c r="G85" s="339">
        <v>6</v>
      </c>
      <c r="H85" s="340">
        <v>1</v>
      </c>
      <c r="I85" s="340">
        <f>ROUND(10+(A85/0.2),)</f>
        <v>13</v>
      </c>
      <c r="J85" s="339">
        <f>ROUND((F85*G85+H85*I85)*0.222,3)</f>
        <v>5.9829999999999997</v>
      </c>
      <c r="K85" s="171"/>
      <c r="L85" s="341">
        <v>1</v>
      </c>
      <c r="N85" s="171"/>
    </row>
    <row r="86" spans="1:14">
      <c r="A86" s="171"/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</row>
    <row r="87" spans="1:14" ht="24">
      <c r="A87" s="2566" t="s">
        <v>467</v>
      </c>
      <c r="B87" s="2566"/>
      <c r="C87" s="2566"/>
      <c r="D87" s="2566"/>
      <c r="E87" s="2566"/>
      <c r="F87" s="289"/>
      <c r="G87" s="2566" t="s">
        <v>1609</v>
      </c>
      <c r="H87" s="2566"/>
      <c r="I87" s="2566"/>
      <c r="J87" s="2566"/>
      <c r="K87" s="171"/>
      <c r="L87" s="171"/>
      <c r="M87" s="171"/>
      <c r="N87" s="171"/>
    </row>
    <row r="88" spans="1:14">
      <c r="A88" s="2564" t="s">
        <v>469</v>
      </c>
      <c r="B88" s="2573" t="s">
        <v>470</v>
      </c>
      <c r="C88" s="2547" t="s">
        <v>471</v>
      </c>
      <c r="D88" s="2544" t="s">
        <v>472</v>
      </c>
      <c r="E88" s="2571" t="s">
        <v>276</v>
      </c>
      <c r="F88" s="290"/>
      <c r="G88" s="2567" t="s">
        <v>469</v>
      </c>
      <c r="H88" s="2568" t="s">
        <v>470</v>
      </c>
      <c r="I88" s="2570" t="s">
        <v>471</v>
      </c>
      <c r="J88" s="2544" t="s">
        <v>472</v>
      </c>
    </row>
    <row r="89" spans="1:14">
      <c r="A89" s="2565"/>
      <c r="B89" s="2569"/>
      <c r="C89" s="2548"/>
      <c r="D89" s="2545"/>
      <c r="E89" s="2572"/>
      <c r="F89" s="290"/>
      <c r="G89" s="2565"/>
      <c r="H89" s="2569"/>
      <c r="I89" s="2548"/>
      <c r="J89" s="2545"/>
    </row>
    <row r="90" spans="1:14" ht="24">
      <c r="A90" s="342">
        <v>0</v>
      </c>
      <c r="B90" s="343" t="s">
        <v>473</v>
      </c>
      <c r="C90" s="344">
        <v>1000</v>
      </c>
      <c r="D90" s="345">
        <f>+C90-A90</f>
        <v>1000</v>
      </c>
      <c r="E90" s="345">
        <f>+D90*$F$85</f>
        <v>2325</v>
      </c>
      <c r="F90" s="290" t="s">
        <v>1600</v>
      </c>
      <c r="G90" s="342"/>
      <c r="H90" s="346" t="s">
        <v>473</v>
      </c>
      <c r="I90" s="344"/>
      <c r="J90" s="345">
        <f>+I90-G90</f>
        <v>0</v>
      </c>
      <c r="K90" s="290" t="s">
        <v>1600</v>
      </c>
    </row>
    <row r="91" spans="1:14" ht="24">
      <c r="A91" s="342"/>
      <c r="B91" s="343" t="s">
        <v>473</v>
      </c>
      <c r="C91" s="344"/>
      <c r="D91" s="345">
        <f>+C91-A91</f>
        <v>0</v>
      </c>
      <c r="E91" s="345">
        <f t="shared" ref="E91:E94" si="11">+D91*$F$85</f>
        <v>0</v>
      </c>
      <c r="F91" s="290" t="s">
        <v>1599</v>
      </c>
      <c r="G91" s="342"/>
      <c r="H91" s="346" t="s">
        <v>473</v>
      </c>
      <c r="I91" s="344"/>
      <c r="J91" s="345">
        <f>+I91-G91</f>
        <v>0</v>
      </c>
      <c r="K91" s="290" t="s">
        <v>1600</v>
      </c>
    </row>
    <row r="92" spans="1:14" ht="24">
      <c r="A92" s="342"/>
      <c r="B92" s="343" t="s">
        <v>473</v>
      </c>
      <c r="C92" s="344"/>
      <c r="D92" s="345">
        <f>+C92-A92</f>
        <v>0</v>
      </c>
      <c r="E92" s="345">
        <f t="shared" si="11"/>
        <v>0</v>
      </c>
      <c r="F92" s="290" t="s">
        <v>1600</v>
      </c>
      <c r="G92" s="342"/>
      <c r="H92" s="346" t="s">
        <v>473</v>
      </c>
      <c r="I92" s="344"/>
      <c r="J92" s="345">
        <f t="shared" ref="J92:J94" si="12">+I92-G92</f>
        <v>0</v>
      </c>
      <c r="K92" s="290" t="s">
        <v>1599</v>
      </c>
    </row>
    <row r="93" spans="1:14" ht="24">
      <c r="A93" s="342"/>
      <c r="B93" s="343" t="s">
        <v>473</v>
      </c>
      <c r="C93" s="344"/>
      <c r="D93" s="345">
        <f>+C93-A93</f>
        <v>0</v>
      </c>
      <c r="E93" s="345">
        <f t="shared" si="11"/>
        <v>0</v>
      </c>
      <c r="F93" s="290" t="s">
        <v>1599</v>
      </c>
      <c r="G93" s="342"/>
      <c r="H93" s="346" t="s">
        <v>473</v>
      </c>
      <c r="I93" s="344"/>
      <c r="J93" s="345">
        <f t="shared" si="12"/>
        <v>0</v>
      </c>
      <c r="K93" s="2019" t="s">
        <v>1600</v>
      </c>
    </row>
    <row r="94" spans="1:14" ht="24">
      <c r="A94" s="342"/>
      <c r="B94" s="343" t="s">
        <v>473</v>
      </c>
      <c r="C94" s="344"/>
      <c r="D94" s="345">
        <f>+C94-A94</f>
        <v>0</v>
      </c>
      <c r="E94" s="345">
        <f t="shared" si="11"/>
        <v>0</v>
      </c>
      <c r="F94" s="290" t="s">
        <v>1599</v>
      </c>
      <c r="G94" s="342"/>
      <c r="H94" s="346"/>
      <c r="I94" s="344"/>
      <c r="J94" s="345">
        <f t="shared" si="12"/>
        <v>0</v>
      </c>
      <c r="K94" s="2019" t="s">
        <v>1600</v>
      </c>
    </row>
    <row r="95" spans="1:14" ht="24">
      <c r="A95" s="342"/>
      <c r="B95" s="343"/>
      <c r="C95" s="344"/>
      <c r="D95" s="345"/>
      <c r="E95" s="345"/>
      <c r="F95" s="290"/>
      <c r="G95" s="342"/>
      <c r="H95" s="346"/>
      <c r="I95" s="344"/>
      <c r="J95" s="345"/>
    </row>
    <row r="96" spans="1:14" ht="24">
      <c r="A96" s="342"/>
      <c r="B96" s="343"/>
      <c r="C96" s="344"/>
      <c r="D96" s="345"/>
      <c r="E96" s="345"/>
      <c r="F96" s="290"/>
      <c r="G96" s="342"/>
      <c r="H96" s="346"/>
      <c r="I96" s="344"/>
      <c r="J96" s="345"/>
    </row>
    <row r="97" spans="1:12" ht="24">
      <c r="A97" s="342"/>
      <c r="B97" s="343" t="s">
        <v>473</v>
      </c>
      <c r="C97" s="347"/>
      <c r="D97" s="345"/>
      <c r="E97" s="341"/>
      <c r="F97" s="290"/>
      <c r="G97" s="342"/>
      <c r="H97" s="346" t="s">
        <v>473</v>
      </c>
      <c r="I97" s="344"/>
      <c r="J97" s="345"/>
    </row>
    <row r="98" spans="1:12" ht="24">
      <c r="A98" s="342"/>
      <c r="B98" s="343" t="s">
        <v>473</v>
      </c>
      <c r="C98" s="347"/>
      <c r="D98" s="348"/>
      <c r="E98" s="349"/>
      <c r="F98" s="290"/>
      <c r="G98" s="342"/>
      <c r="H98" s="346" t="s">
        <v>473</v>
      </c>
      <c r="I98" s="344"/>
      <c r="J98" s="348"/>
    </row>
    <row r="99" spans="1:12" ht="27.75">
      <c r="A99" s="2546" t="s">
        <v>28</v>
      </c>
      <c r="B99" s="2546"/>
      <c r="C99" s="2546"/>
      <c r="D99" s="350">
        <f>SUM(D90:D98)</f>
        <v>1000</v>
      </c>
      <c r="E99" s="350">
        <f>ROUND(SUM(E90:E98),)</f>
        <v>2325</v>
      </c>
      <c r="F99" s="289"/>
      <c r="G99" s="2536" t="s">
        <v>28</v>
      </c>
      <c r="H99" s="2537"/>
      <c r="I99" s="2538"/>
      <c r="J99" s="351">
        <f>SUM(J90:J98)</f>
        <v>0</v>
      </c>
    </row>
    <row r="101" spans="1:12" ht="24">
      <c r="G101" s="2566" t="s">
        <v>1865</v>
      </c>
      <c r="H101" s="2566"/>
      <c r="I101" s="2566"/>
      <c r="J101" s="2566"/>
    </row>
    <row r="102" spans="1:12" ht="24">
      <c r="A102" s="1272" t="s">
        <v>40</v>
      </c>
      <c r="B102" s="1273" t="s">
        <v>1601</v>
      </c>
      <c r="C102" s="1273" t="s">
        <v>1602</v>
      </c>
      <c r="D102" s="1273"/>
      <c r="G102" s="2567" t="s">
        <v>469</v>
      </c>
      <c r="H102" s="2568" t="s">
        <v>470</v>
      </c>
      <c r="I102" s="2570" t="s">
        <v>471</v>
      </c>
      <c r="J102" s="2544" t="s">
        <v>472</v>
      </c>
    </row>
    <row r="103" spans="1:12" ht="24">
      <c r="A103" s="1274"/>
      <c r="B103" s="315"/>
      <c r="C103" s="315"/>
      <c r="D103" s="315"/>
      <c r="G103" s="2565"/>
      <c r="H103" s="2569"/>
      <c r="I103" s="2548"/>
      <c r="J103" s="2545"/>
    </row>
    <row r="104" spans="1:12" ht="24">
      <c r="A104" s="1274"/>
      <c r="B104" s="315"/>
      <c r="C104" s="315"/>
      <c r="D104" s="315"/>
      <c r="G104" s="342">
        <v>31075</v>
      </c>
      <c r="H104" s="346"/>
      <c r="I104" s="344">
        <v>31275</v>
      </c>
      <c r="J104" s="345">
        <f>+I104-G104</f>
        <v>200</v>
      </c>
      <c r="K104" s="318">
        <f>+J104/4</f>
        <v>50</v>
      </c>
      <c r="L104" s="268" t="s">
        <v>1600</v>
      </c>
    </row>
    <row r="105" spans="1:12" ht="24">
      <c r="A105" s="1274"/>
      <c r="B105" s="315"/>
      <c r="C105" s="315"/>
      <c r="D105" s="315"/>
      <c r="G105" s="342">
        <v>31300</v>
      </c>
      <c r="H105" s="346"/>
      <c r="I105" s="344">
        <v>31420</v>
      </c>
      <c r="J105" s="345">
        <f>+I105-G105</f>
        <v>120</v>
      </c>
      <c r="K105" s="318">
        <f t="shared" ref="K105:K118" si="13">+J105/4</f>
        <v>30</v>
      </c>
      <c r="L105" s="268" t="s">
        <v>1600</v>
      </c>
    </row>
    <row r="106" spans="1:12" ht="24">
      <c r="A106" s="1274"/>
      <c r="B106" s="315"/>
      <c r="C106" s="315"/>
      <c r="D106" s="315"/>
      <c r="G106" s="342"/>
      <c r="H106" s="346" t="s">
        <v>473</v>
      </c>
      <c r="I106" s="344"/>
      <c r="J106" s="345">
        <f>+I106-G106</f>
        <v>0</v>
      </c>
      <c r="K106" s="318">
        <f t="shared" si="13"/>
        <v>0</v>
      </c>
      <c r="L106" s="268" t="s">
        <v>1599</v>
      </c>
    </row>
    <row r="107" spans="1:12" ht="24">
      <c r="A107" s="1274"/>
      <c r="B107" s="315"/>
      <c r="C107" s="315"/>
      <c r="D107" s="315"/>
      <c r="G107" s="342"/>
      <c r="H107" s="346" t="s">
        <v>473</v>
      </c>
      <c r="I107" s="344"/>
      <c r="J107" s="345">
        <f t="shared" ref="J107:J109" si="14">+I107-G107</f>
        <v>0</v>
      </c>
      <c r="K107" s="318">
        <f t="shared" si="13"/>
        <v>0</v>
      </c>
      <c r="L107" s="268" t="s">
        <v>1600</v>
      </c>
    </row>
    <row r="108" spans="1:12" ht="24">
      <c r="A108" s="1274"/>
      <c r="B108" s="315"/>
      <c r="C108" s="315"/>
      <c r="D108" s="315"/>
      <c r="G108" s="342"/>
      <c r="H108" s="346" t="s">
        <v>473</v>
      </c>
      <c r="I108" s="344"/>
      <c r="J108" s="345">
        <f t="shared" si="14"/>
        <v>0</v>
      </c>
      <c r="K108" s="318">
        <f t="shared" si="13"/>
        <v>0</v>
      </c>
      <c r="L108" s="268" t="s">
        <v>1600</v>
      </c>
    </row>
    <row r="109" spans="1:12" ht="24">
      <c r="A109" s="1274"/>
      <c r="B109" s="315"/>
      <c r="C109" s="315"/>
      <c r="D109" s="315"/>
      <c r="G109" s="342"/>
      <c r="H109" s="346"/>
      <c r="I109" s="344"/>
      <c r="J109" s="345">
        <f t="shared" si="14"/>
        <v>0</v>
      </c>
      <c r="K109" s="318">
        <f t="shared" si="13"/>
        <v>0</v>
      </c>
      <c r="L109" s="268" t="s">
        <v>1600</v>
      </c>
    </row>
    <row r="110" spans="1:12" ht="24">
      <c r="A110" s="1274"/>
      <c r="B110" s="315"/>
      <c r="C110" s="315"/>
      <c r="D110" s="315"/>
      <c r="E110"/>
      <c r="G110" s="342"/>
      <c r="H110" s="346"/>
      <c r="I110" s="344"/>
      <c r="J110" s="345">
        <f t="shared" ref="J110:J118" si="15">+I110-G110</f>
        <v>0</v>
      </c>
      <c r="K110" s="318">
        <f t="shared" si="13"/>
        <v>0</v>
      </c>
      <c r="L110" s="268" t="s">
        <v>1600</v>
      </c>
    </row>
    <row r="111" spans="1:12" ht="24">
      <c r="A111" s="1274"/>
      <c r="B111" s="315"/>
      <c r="C111" s="315"/>
      <c r="D111" s="315"/>
      <c r="E111"/>
      <c r="G111" s="342"/>
      <c r="H111" s="346"/>
      <c r="I111" s="344"/>
      <c r="J111" s="345">
        <f t="shared" si="15"/>
        <v>0</v>
      </c>
      <c r="K111" s="318">
        <f t="shared" si="13"/>
        <v>0</v>
      </c>
      <c r="L111" s="268" t="s">
        <v>1599</v>
      </c>
    </row>
    <row r="112" spans="1:12" ht="24">
      <c r="A112" s="1274"/>
      <c r="B112" s="315"/>
      <c r="C112" s="315"/>
      <c r="D112" s="315"/>
      <c r="E112"/>
      <c r="G112" s="342"/>
      <c r="H112" s="346"/>
      <c r="I112" s="344"/>
      <c r="J112" s="345">
        <f t="shared" si="15"/>
        <v>0</v>
      </c>
      <c r="K112" s="318">
        <f t="shared" si="13"/>
        <v>0</v>
      </c>
      <c r="L112" s="268" t="s">
        <v>1600</v>
      </c>
    </row>
    <row r="113" spans="1:11" ht="24">
      <c r="A113" s="1274"/>
      <c r="B113" s="315"/>
      <c r="C113" s="315"/>
      <c r="D113" s="315"/>
      <c r="E113"/>
      <c r="F113"/>
      <c r="G113" s="342"/>
      <c r="H113" s="346"/>
      <c r="I113" s="344"/>
      <c r="J113" s="345">
        <f t="shared" si="15"/>
        <v>0</v>
      </c>
      <c r="K113" s="318">
        <f t="shared" si="13"/>
        <v>0</v>
      </c>
    </row>
    <row r="114" spans="1:11" ht="24">
      <c r="A114" s="1274"/>
      <c r="B114" s="315"/>
      <c r="C114" s="315"/>
      <c r="D114" s="315"/>
      <c r="E114"/>
      <c r="F114"/>
      <c r="G114" s="342"/>
      <c r="H114" s="346"/>
      <c r="I114" s="344"/>
      <c r="J114" s="345">
        <f t="shared" si="15"/>
        <v>0</v>
      </c>
      <c r="K114" s="318">
        <f t="shared" si="13"/>
        <v>0</v>
      </c>
    </row>
    <row r="115" spans="1:11" ht="24">
      <c r="A115" s="1274"/>
      <c r="B115" s="315"/>
      <c r="C115" s="315"/>
      <c r="D115" s="315"/>
      <c r="E115"/>
      <c r="F115"/>
      <c r="G115" s="342"/>
      <c r="H115" s="346"/>
      <c r="I115" s="344"/>
      <c r="J115" s="345">
        <f t="shared" si="15"/>
        <v>0</v>
      </c>
      <c r="K115" s="318">
        <f t="shared" si="13"/>
        <v>0</v>
      </c>
    </row>
    <row r="116" spans="1:11" ht="24">
      <c r="A116" s="1274"/>
      <c r="B116" s="315"/>
      <c r="C116" s="315"/>
      <c r="D116" s="315"/>
      <c r="E116"/>
      <c r="F116"/>
      <c r="G116" s="342"/>
      <c r="H116" s="346"/>
      <c r="I116" s="344"/>
      <c r="J116" s="345">
        <f t="shared" si="15"/>
        <v>0</v>
      </c>
      <c r="K116" s="318">
        <f t="shared" si="13"/>
        <v>0</v>
      </c>
    </row>
    <row r="117" spans="1:11" ht="24">
      <c r="A117" s="1274"/>
      <c r="B117" s="315"/>
      <c r="C117" s="315"/>
      <c r="D117" s="315"/>
      <c r="E117"/>
      <c r="F117"/>
      <c r="G117" s="342"/>
      <c r="H117" s="346"/>
      <c r="I117" s="344"/>
      <c r="J117" s="345">
        <f t="shared" si="15"/>
        <v>0</v>
      </c>
      <c r="K117" s="318">
        <f t="shared" si="13"/>
        <v>0</v>
      </c>
    </row>
    <row r="118" spans="1:11" ht="24">
      <c r="A118" s="1274"/>
      <c r="B118" s="315"/>
      <c r="C118" s="315"/>
      <c r="D118" s="315"/>
      <c r="E118"/>
      <c r="F118"/>
      <c r="G118" s="342"/>
      <c r="H118" s="346"/>
      <c r="I118" s="344"/>
      <c r="J118" s="345">
        <f t="shared" si="15"/>
        <v>0</v>
      </c>
      <c r="K118" s="318">
        <f t="shared" si="13"/>
        <v>0</v>
      </c>
    </row>
    <row r="119" spans="1:11" ht="24">
      <c r="A119" s="1274"/>
      <c r="B119" s="315"/>
      <c r="C119" s="315"/>
      <c r="D119" s="316"/>
      <c r="E119"/>
      <c r="F119"/>
      <c r="G119" s="2536" t="s">
        <v>28</v>
      </c>
      <c r="H119" s="2537"/>
      <c r="I119" s="2538"/>
      <c r="J119" s="351">
        <f>SUM(J104:J118)</f>
        <v>320</v>
      </c>
    </row>
    <row r="120" spans="1:11" ht="24">
      <c r="A120" s="1274"/>
      <c r="B120" s="315"/>
      <c r="C120" s="315"/>
      <c r="D120" s="316"/>
      <c r="E120"/>
      <c r="F120"/>
      <c r="G120"/>
      <c r="H120"/>
      <c r="I120"/>
      <c r="J120"/>
    </row>
    <row r="121" spans="1:11" ht="24">
      <c r="A121" s="1274"/>
      <c r="B121" s="315"/>
      <c r="C121" s="315"/>
      <c r="D121" s="315"/>
      <c r="E121"/>
      <c r="F121" s="268" t="s">
        <v>1603</v>
      </c>
    </row>
    <row r="122" spans="1:11" ht="24">
      <c r="A122" s="1274"/>
      <c r="B122" s="315"/>
      <c r="C122" s="315"/>
      <c r="D122" s="315"/>
      <c r="E122"/>
      <c r="F122" s="342">
        <v>3845</v>
      </c>
      <c r="G122" s="1275" t="s">
        <v>2013</v>
      </c>
    </row>
    <row r="123" spans="1:11" ht="24">
      <c r="A123" s="1274"/>
      <c r="B123" s="315"/>
      <c r="C123" s="315"/>
      <c r="D123" s="315"/>
      <c r="E123"/>
      <c r="F123" s="342">
        <v>3681</v>
      </c>
      <c r="G123" s="1275" t="s">
        <v>2013</v>
      </c>
    </row>
    <row r="124" spans="1:11" ht="24">
      <c r="A124" s="1274"/>
      <c r="B124" s="315"/>
      <c r="C124" s="315"/>
      <c r="D124" s="315"/>
      <c r="E124"/>
      <c r="F124" s="342">
        <v>4883</v>
      </c>
      <c r="G124" s="1275" t="s">
        <v>2013</v>
      </c>
    </row>
    <row r="125" spans="1:11" ht="24">
      <c r="A125" s="1274"/>
      <c r="B125" s="315"/>
      <c r="C125" s="315"/>
      <c r="D125" s="315"/>
      <c r="E125"/>
      <c r="F125" s="342"/>
      <c r="G125" s="1275"/>
    </row>
    <row r="126" spans="1:11" ht="24">
      <c r="A126" s="1274"/>
      <c r="B126" s="315"/>
      <c r="C126" s="315"/>
      <c r="D126" s="315"/>
      <c r="E126"/>
      <c r="F126" s="342"/>
      <c r="G126" s="1275"/>
    </row>
    <row r="127" spans="1:11" ht="24">
      <c r="A127" s="1274"/>
      <c r="B127" s="315"/>
      <c r="C127" s="315"/>
      <c r="D127" s="315"/>
      <c r="E127"/>
      <c r="F127" s="342"/>
      <c r="G127" s="1275"/>
    </row>
  </sheetData>
  <protectedRanges>
    <protectedRange sqref="A33 C22:D22 C33:D33 C49 A46:B49" name="Range10"/>
    <protectedRange sqref="B69:C72 J67:J72 F67:H72" name="Range10_1"/>
    <protectedRange sqref="A45:B45 A42:B43 D45:E45 D41:E43 A32:D32 B41" name="Range10_2"/>
    <protectedRange sqref="A31:D31" name="Range10_2_3"/>
    <protectedRange sqref="B67:C68" name="Range10_1_1"/>
    <protectedRange sqref="A29:D30 A19:D19" name="Range10_2_1_2_2"/>
    <protectedRange sqref="A28:D28 A18:D18" name="Range10_2_1_2"/>
    <protectedRange sqref="B20:D21" name="Range10_2_1"/>
  </protectedRanges>
  <mergeCells count="58">
    <mergeCell ref="A64:J64"/>
    <mergeCell ref="A25:J25"/>
    <mergeCell ref="A26:B27"/>
    <mergeCell ref="A38:K38"/>
    <mergeCell ref="K39:K40"/>
    <mergeCell ref="E39:E40"/>
    <mergeCell ref="D36:E36"/>
    <mergeCell ref="F36:G36"/>
    <mergeCell ref="A34:D34"/>
    <mergeCell ref="I26:I27"/>
    <mergeCell ref="A39:B40"/>
    <mergeCell ref="F39:F40"/>
    <mergeCell ref="F26:F27"/>
    <mergeCell ref="A1:J1"/>
    <mergeCell ref="F3:G3"/>
    <mergeCell ref="A16:B17"/>
    <mergeCell ref="A4:J4"/>
    <mergeCell ref="A5:B6"/>
    <mergeCell ref="F5:F6"/>
    <mergeCell ref="F16:F17"/>
    <mergeCell ref="A13:D13"/>
    <mergeCell ref="A15:J15"/>
    <mergeCell ref="A23:D23"/>
    <mergeCell ref="G39:G40"/>
    <mergeCell ref="H39:H40"/>
    <mergeCell ref="D39:D40"/>
    <mergeCell ref="A48:K48"/>
    <mergeCell ref="L82:L84"/>
    <mergeCell ref="F83:I83"/>
    <mergeCell ref="A88:A89"/>
    <mergeCell ref="G101:J101"/>
    <mergeCell ref="G102:G103"/>
    <mergeCell ref="H102:H103"/>
    <mergeCell ref="I102:I103"/>
    <mergeCell ref="E88:E89"/>
    <mergeCell ref="I88:I89"/>
    <mergeCell ref="J88:J89"/>
    <mergeCell ref="B88:B89"/>
    <mergeCell ref="G99:I99"/>
    <mergeCell ref="A87:E87"/>
    <mergeCell ref="G87:J87"/>
    <mergeCell ref="G88:G89"/>
    <mergeCell ref="H88:H89"/>
    <mergeCell ref="G119:I119"/>
    <mergeCell ref="A82:J82"/>
    <mergeCell ref="A65:A66"/>
    <mergeCell ref="J102:J103"/>
    <mergeCell ref="A99:C99"/>
    <mergeCell ref="C65:C66"/>
    <mergeCell ref="C88:C89"/>
    <mergeCell ref="D88:D89"/>
    <mergeCell ref="D65:D66"/>
    <mergeCell ref="I65:I66"/>
    <mergeCell ref="E65:G65"/>
    <mergeCell ref="F66:G66"/>
    <mergeCell ref="H65:H66"/>
    <mergeCell ref="J65:J66"/>
    <mergeCell ref="B65:B66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portrait" blackAndWhite="1" horizontalDpi="1200" verticalDpi="1200" r:id="rId1"/>
  <headerFooter alignWithMargins="0"/>
  <rowBreaks count="1" manualBreakCount="1">
    <brk id="4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4" name="Drop Down 1">
              <controlPr defaultSize="0" print="0" autoLine="0" autoPict="0">
                <anchor moveWithCells="1">
                  <from>
                    <xdr:col>5</xdr:col>
                    <xdr:colOff>28575</xdr:colOff>
                    <xdr:row>2</xdr:row>
                    <xdr:rowOff>38100</xdr:rowOff>
                  </from>
                  <to>
                    <xdr:col>6</xdr:col>
                    <xdr:colOff>685800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tabColor rgb="FFFFC000"/>
  </sheetPr>
  <dimension ref="B1:AQ37"/>
  <sheetViews>
    <sheetView workbookViewId="0">
      <selection activeCell="B1" sqref="B1:K1"/>
    </sheetView>
  </sheetViews>
  <sheetFormatPr defaultColWidth="9.140625" defaultRowHeight="21.75"/>
  <cols>
    <col min="1" max="1" width="3.85546875" style="268" customWidth="1"/>
    <col min="2" max="3" width="9.140625" style="268"/>
    <col min="4" max="4" width="9.85546875" style="268" customWidth="1"/>
    <col min="5" max="5" width="11.5703125" style="268" customWidth="1"/>
    <col min="6" max="6" width="11" style="268" customWidth="1"/>
    <col min="7" max="7" width="11.28515625" style="268" bestFit="1" customWidth="1"/>
    <col min="8" max="8" width="10.7109375" style="268" customWidth="1"/>
    <col min="9" max="9" width="10.42578125" style="268" customWidth="1"/>
    <col min="10" max="10" width="11.7109375" style="268" customWidth="1"/>
    <col min="11" max="11" width="13" style="268" customWidth="1"/>
    <col min="12" max="12" width="6.85546875" style="268" customWidth="1"/>
    <col min="13" max="13" width="11.5703125" style="268" customWidth="1"/>
    <col min="14" max="14" width="10.140625" style="268" customWidth="1"/>
    <col min="15" max="15" width="10" style="520" bestFit="1" customWidth="1"/>
    <col min="16" max="16" width="5.7109375" style="520" customWidth="1"/>
    <col min="17" max="17" width="6.28515625" style="520" bestFit="1" customWidth="1"/>
    <col min="18" max="18" width="10.28515625" style="520" bestFit="1" customWidth="1"/>
    <col min="19" max="23" width="9.140625" style="520"/>
    <col min="24" max="24" width="10.42578125" style="520" customWidth="1"/>
    <col min="25" max="25" width="3.85546875" style="520" customWidth="1"/>
    <col min="26" max="30" width="9.140625" style="520"/>
    <col min="31" max="16384" width="9.140625" style="268"/>
  </cols>
  <sheetData>
    <row r="1" spans="2:43">
      <c r="B1" s="2578" t="str">
        <f>ปร.5_Roads!C4</f>
        <v xml:space="preserve">บำรุงพิเศษ ซ่อมสร้างผิวทาง Asphaltic Concrete </v>
      </c>
      <c r="C1" s="2578"/>
      <c r="D1" s="2578"/>
      <c r="E1" s="2578"/>
      <c r="F1" s="2578"/>
      <c r="G1" s="2578"/>
      <c r="H1" s="2578"/>
      <c r="I1" s="2578"/>
      <c r="J1" s="2578"/>
      <c r="K1" s="2578"/>
      <c r="S1" s="562"/>
      <c r="T1" s="562"/>
      <c r="U1" s="562"/>
      <c r="V1" s="562"/>
      <c r="W1" s="562"/>
      <c r="X1" s="562"/>
      <c r="AJ1" s="269"/>
      <c r="AK1" s="269"/>
      <c r="AL1" s="270"/>
      <c r="AM1" s="270"/>
      <c r="AN1" s="270"/>
      <c r="AO1" s="270"/>
      <c r="AP1" s="270"/>
      <c r="AQ1" s="270"/>
    </row>
    <row r="2" spans="2:43" s="270" customFormat="1">
      <c r="C2" s="480" t="str">
        <f>+ปร.5_Roads!C6</f>
        <v>ปน.4031</v>
      </c>
      <c r="D2" s="270" t="str">
        <f>+ปร.5_Roads!F6</f>
        <v>แยกทางหลวงหมายเลข 4157-บ้านปาตา</v>
      </c>
      <c r="I2" s="270" t="str">
        <f>+ปร.5_Roads!C7</f>
        <v>อำเภอ  ปะนาเระ,ยะหริ่ง จังหวัด ปัตตานี</v>
      </c>
      <c r="O2" s="480"/>
      <c r="P2" s="480"/>
      <c r="Q2" s="480"/>
      <c r="R2" s="480"/>
      <c r="S2" s="1358"/>
      <c r="T2" s="1358"/>
      <c r="U2" s="1358"/>
      <c r="V2" s="1358"/>
      <c r="W2" s="1358"/>
      <c r="X2" s="1358"/>
      <c r="Y2" s="480"/>
      <c r="Z2" s="480"/>
      <c r="AA2" s="480"/>
      <c r="AB2" s="480"/>
      <c r="AC2" s="480"/>
      <c r="AD2" s="480"/>
      <c r="AJ2" s="271"/>
      <c r="AK2" s="271"/>
    </row>
    <row r="3" spans="2:43">
      <c r="B3" s="270" t="s">
        <v>540</v>
      </c>
      <c r="G3" s="2579"/>
      <c r="H3" s="2579"/>
      <c r="I3" s="1359"/>
      <c r="S3" s="562"/>
      <c r="T3" s="562"/>
      <c r="U3" s="562"/>
      <c r="V3" s="562"/>
      <c r="W3" s="562"/>
      <c r="X3" s="562"/>
      <c r="AJ3" s="271"/>
      <c r="AK3" s="271"/>
      <c r="AL3" s="270"/>
      <c r="AM3" s="270"/>
      <c r="AN3" s="270"/>
      <c r="AO3" s="270"/>
      <c r="AP3" s="270"/>
      <c r="AQ3" s="270"/>
    </row>
    <row r="4" spans="2:43" ht="22.5" customHeight="1">
      <c r="B4" s="2606" t="s">
        <v>1662</v>
      </c>
      <c r="C4" s="2607"/>
      <c r="D4" s="2607"/>
      <c r="E4" s="2607"/>
      <c r="F4" s="2607"/>
      <c r="G4" s="2607"/>
      <c r="H4" s="2607"/>
      <c r="I4" s="2607"/>
      <c r="J4" s="2607"/>
      <c r="K4" s="2608"/>
      <c r="AJ4" s="271"/>
      <c r="AK4" s="271"/>
      <c r="AL4" s="271"/>
      <c r="AM4" s="271"/>
      <c r="AN4" s="271"/>
      <c r="AO4" s="271"/>
      <c r="AP4" s="271"/>
      <c r="AQ4" s="271"/>
    </row>
    <row r="5" spans="2:43" ht="39" customHeight="1">
      <c r="B5" s="2582" t="s">
        <v>247</v>
      </c>
      <c r="C5" s="2582"/>
      <c r="D5" s="272" t="s">
        <v>248</v>
      </c>
      <c r="E5" s="272" t="s">
        <v>21</v>
      </c>
      <c r="F5" s="2583" t="s">
        <v>391</v>
      </c>
      <c r="G5" s="272" t="s">
        <v>250</v>
      </c>
      <c r="H5" s="1314" t="s">
        <v>1663</v>
      </c>
      <c r="I5" s="1314" t="s">
        <v>1664</v>
      </c>
      <c r="J5" s="1314" t="s">
        <v>1665</v>
      </c>
      <c r="K5" s="1314" t="s">
        <v>1666</v>
      </c>
      <c r="AL5" s="271"/>
      <c r="AM5" s="271"/>
      <c r="AN5" s="271"/>
      <c r="AO5" s="271"/>
      <c r="AP5" s="271"/>
      <c r="AQ5" s="271"/>
    </row>
    <row r="6" spans="2:43">
      <c r="B6" s="2582"/>
      <c r="C6" s="2582"/>
      <c r="D6" s="1313" t="s">
        <v>253</v>
      </c>
      <c r="E6" s="1313" t="s">
        <v>254</v>
      </c>
      <c r="F6" s="2584"/>
      <c r="G6" s="1313" t="s">
        <v>255</v>
      </c>
      <c r="H6" s="1313" t="s">
        <v>1667</v>
      </c>
      <c r="I6" s="1313" t="s">
        <v>1667</v>
      </c>
      <c r="J6" s="1313" t="s">
        <v>1667</v>
      </c>
      <c r="K6" s="1313" t="s">
        <v>1668</v>
      </c>
      <c r="AL6" s="271"/>
      <c r="AM6" s="271"/>
      <c r="AN6" s="271"/>
      <c r="AO6" s="271"/>
      <c r="AP6" s="271"/>
      <c r="AQ6" s="271"/>
    </row>
    <row r="7" spans="2:43">
      <c r="B7" s="300">
        <v>8125</v>
      </c>
      <c r="C7" s="300">
        <v>9000</v>
      </c>
      <c r="D7" s="297">
        <v>6</v>
      </c>
      <c r="E7" s="1360">
        <f t="shared" ref="E7:E12" si="0">(C7-B7)</f>
        <v>875</v>
      </c>
      <c r="F7" s="278">
        <v>0</v>
      </c>
      <c r="G7" s="1360">
        <f t="shared" ref="G7:G12" si="1">IF(E7&gt;0,(E7-F7)*D7*1,)</f>
        <v>5250</v>
      </c>
      <c r="H7" s="1361">
        <f>+G7*'NO DELETE'!$AZ$8</f>
        <v>1050</v>
      </c>
      <c r="I7" s="1360">
        <f>+IF('NO DELETE'!$BE$31=1,BackupCon!G7*0.1*1.1,0)</f>
        <v>577.5</v>
      </c>
      <c r="J7" s="1362">
        <f>+IF('NO DELETE'!$BE$31=1,(BackupCon!E7*0.5*(+'NO DELETE'!AZ8+0.1)*(+'NO DELETE'!AZ8+0.1)*2)*2,(BackupCon!E7*0.5*(+'NO DELETE'!AZ8)*(+'NO DELETE'!AZ8)*2)*2)</f>
        <v>157.50000000000006</v>
      </c>
      <c r="K7" s="1363">
        <f t="shared" ref="K7:K12" si="2">+G7*1.32/1000</f>
        <v>6.93</v>
      </c>
      <c r="AL7" s="271"/>
      <c r="AM7" s="271"/>
      <c r="AN7" s="271"/>
      <c r="AO7" s="271"/>
      <c r="AP7" s="271"/>
      <c r="AQ7" s="271"/>
    </row>
    <row r="8" spans="2:43" ht="21.75" customHeight="1">
      <c r="B8" s="275"/>
      <c r="C8" s="275"/>
      <c r="D8" s="276"/>
      <c r="E8" s="1360">
        <f t="shared" si="0"/>
        <v>0</v>
      </c>
      <c r="F8" s="278">
        <v>0</v>
      </c>
      <c r="G8" s="1360">
        <f t="shared" si="1"/>
        <v>0</v>
      </c>
      <c r="H8" s="1361">
        <f>+G8*'NO DELETE'!$AZ$8</f>
        <v>0</v>
      </c>
      <c r="I8" s="1360">
        <f>+IF('NO DELETE'!$BE$31=1,BackupCon!G8*0.1*1.1,0)</f>
        <v>0</v>
      </c>
      <c r="J8" s="1362">
        <f>+IF('NO DELETE'!$BE$31=1,(BackupCon!E8*0.5*(+'NO DELETE'!BM27+0.1)*(+'NO DELETE'!BM27+0.1)*2)*2,(BackupCon!E8*0.5*(+'NO DELETE'!BM27)*(+'NO DELETE'!BM27)*2)*2)</f>
        <v>0</v>
      </c>
      <c r="K8" s="1363">
        <f t="shared" si="2"/>
        <v>0</v>
      </c>
      <c r="L8" s="282"/>
      <c r="AL8" s="271"/>
      <c r="AM8" s="271"/>
      <c r="AN8" s="271"/>
      <c r="AO8" s="271"/>
      <c r="AP8" s="271"/>
      <c r="AQ8" s="271"/>
    </row>
    <row r="9" spans="2:43" ht="21.75" customHeight="1">
      <c r="B9" s="275"/>
      <c r="C9" s="275"/>
      <c r="D9" s="276"/>
      <c r="E9" s="1360">
        <f t="shared" si="0"/>
        <v>0</v>
      </c>
      <c r="F9" s="278">
        <v>0</v>
      </c>
      <c r="G9" s="1360">
        <f t="shared" si="1"/>
        <v>0</v>
      </c>
      <c r="H9" s="1361">
        <f>+G9*'NO DELETE'!$AZ$8</f>
        <v>0</v>
      </c>
      <c r="I9" s="1360">
        <f>+IF('NO DELETE'!$BE$31=1,BackupCon!G9*0.1*1.1,0)</f>
        <v>0</v>
      </c>
      <c r="J9" s="1362">
        <f>+IF('NO DELETE'!$BE$31=1,(BackupCon!E9*0.5*(+'NO DELETE'!BM28+0.1)*(+'NO DELETE'!BM28+0.1)*2)*2,(BackupCon!E9*0.5*(+'NO DELETE'!BM28)*(+'NO DELETE'!BM28)*2)*2)</f>
        <v>0</v>
      </c>
      <c r="K9" s="1363">
        <f t="shared" si="2"/>
        <v>0</v>
      </c>
      <c r="L9" s="282"/>
      <c r="AL9" s="271"/>
      <c r="AM9" s="271"/>
      <c r="AN9" s="271"/>
      <c r="AO9" s="271"/>
      <c r="AP9" s="271"/>
      <c r="AQ9" s="271"/>
    </row>
    <row r="10" spans="2:43" ht="22.5" customHeight="1">
      <c r="B10" s="275"/>
      <c r="C10" s="275"/>
      <c r="D10" s="276"/>
      <c r="E10" s="1360">
        <f t="shared" si="0"/>
        <v>0</v>
      </c>
      <c r="F10" s="278">
        <v>0</v>
      </c>
      <c r="G10" s="1360">
        <f t="shared" si="1"/>
        <v>0</v>
      </c>
      <c r="H10" s="1361">
        <f>+G10*'NO DELETE'!$AZ$8</f>
        <v>0</v>
      </c>
      <c r="I10" s="1360">
        <f>+IF('NO DELETE'!$BE$31=1,BackupCon!G10*0.1*1.1,0)</f>
        <v>0</v>
      </c>
      <c r="J10" s="1362">
        <f>+IF('NO DELETE'!$BE$31=1,(BackupCon!E10*0.5*(+'NO DELETE'!BM29+0.1)*(+'NO DELETE'!BM29+0.1)*2)*2,(BackupCon!E10*0.5*(+'NO DELETE'!BM29)*(+'NO DELETE'!BM29)*2)*2)</f>
        <v>0</v>
      </c>
      <c r="K10" s="1363">
        <f t="shared" si="2"/>
        <v>0</v>
      </c>
      <c r="AL10" s="271"/>
      <c r="AM10" s="271"/>
      <c r="AN10" s="271"/>
      <c r="AO10" s="271"/>
      <c r="AP10" s="271"/>
      <c r="AQ10" s="271"/>
    </row>
    <row r="11" spans="2:43" ht="22.5" customHeight="1">
      <c r="B11" s="275"/>
      <c r="C11" s="275"/>
      <c r="D11" s="276"/>
      <c r="E11" s="1360">
        <f t="shared" si="0"/>
        <v>0</v>
      </c>
      <c r="F11" s="278">
        <v>0</v>
      </c>
      <c r="G11" s="1360">
        <f t="shared" si="1"/>
        <v>0</v>
      </c>
      <c r="H11" s="1361">
        <f>+G11*'NO DELETE'!$AZ$8</f>
        <v>0</v>
      </c>
      <c r="I11" s="1360">
        <f>+IF('NO DELETE'!$BE$31=1,BackupCon!G11*0.1*1.1,0)</f>
        <v>0</v>
      </c>
      <c r="J11" s="1362">
        <f>+IF('NO DELETE'!$BE$31=1,(BackupCon!E11*0.5*(+'NO DELETE'!BM30+0.1)*(+'NO DELETE'!BM30+0.1)*2)*2,(BackupCon!E11*0.5*(+'NO DELETE'!BM30)*(+'NO DELETE'!BM30)*2)*2)</f>
        <v>0</v>
      </c>
      <c r="K11" s="1363">
        <f t="shared" si="2"/>
        <v>0</v>
      </c>
      <c r="AL11" s="283"/>
      <c r="AM11" s="283"/>
      <c r="AN11" s="283"/>
      <c r="AO11" s="283"/>
      <c r="AP11" s="283"/>
      <c r="AQ11" s="283"/>
    </row>
    <row r="12" spans="2:43" ht="22.5" customHeight="1">
      <c r="B12" s="275"/>
      <c r="C12" s="275"/>
      <c r="D12" s="276"/>
      <c r="E12" s="1360">
        <f t="shared" si="0"/>
        <v>0</v>
      </c>
      <c r="F12" s="278">
        <v>0</v>
      </c>
      <c r="G12" s="1360">
        <f t="shared" si="1"/>
        <v>0</v>
      </c>
      <c r="H12" s="1361">
        <f>+G12*'NO DELETE'!$AZ$8</f>
        <v>0</v>
      </c>
      <c r="I12" s="1360">
        <f>+IF('NO DELETE'!$BE$31=1,BackupCon!G12*0.1*1.1,0)</f>
        <v>0</v>
      </c>
      <c r="J12" s="1362">
        <f>+IF('NO DELETE'!$BE$31=1,(BackupCon!E12*0.5*(+'NO DELETE'!BM31+0.1)*(+'NO DELETE'!BM31+0.1)*2)*2,(BackupCon!E12*0.5*(+'NO DELETE'!BM31)*(+'NO DELETE'!BM31)*2)*2)</f>
        <v>0</v>
      </c>
      <c r="K12" s="1363">
        <f t="shared" si="2"/>
        <v>0</v>
      </c>
      <c r="AL12" s="283"/>
      <c r="AM12" s="283"/>
      <c r="AN12" s="283"/>
      <c r="AO12" s="283"/>
      <c r="AP12" s="283"/>
      <c r="AQ12" s="283"/>
    </row>
    <row r="13" spans="2:43" ht="22.5" customHeight="1">
      <c r="B13" s="1364" t="s">
        <v>28</v>
      </c>
      <c r="C13" s="1365"/>
      <c r="D13" s="1365"/>
      <c r="E13" s="284">
        <f>SUM(E7:E12)</f>
        <v>875</v>
      </c>
      <c r="F13" s="285">
        <f>SUM(F7:F12)</f>
        <v>0</v>
      </c>
      <c r="G13" s="286">
        <f>ROUNDUP(SUM(G7:G12),)</f>
        <v>5250</v>
      </c>
      <c r="H13" s="286">
        <f>ROUNDUP(SUM(H7:H12),)</f>
        <v>1050</v>
      </c>
      <c r="I13" s="286">
        <f>ROUNDUP(SUM(I7:I12),)</f>
        <v>578</v>
      </c>
      <c r="J13" s="286">
        <f>ROUNDUP(SUM(J7:J12),)</f>
        <v>158</v>
      </c>
      <c r="K13" s="1366">
        <f>ROUNDUP(SUM(K7:K12),)</f>
        <v>7</v>
      </c>
      <c r="M13" s="970"/>
      <c r="N13" s="970"/>
      <c r="AL13" s="283"/>
      <c r="AM13" s="283"/>
      <c r="AN13" s="283"/>
      <c r="AO13" s="283"/>
      <c r="AP13" s="283"/>
      <c r="AQ13" s="283"/>
    </row>
    <row r="14" spans="2:43" s="287" customFormat="1" ht="12" customHeight="1" thickBot="1">
      <c r="L14" s="288"/>
      <c r="O14" s="1367"/>
      <c r="P14" s="1367"/>
      <c r="Q14" s="1367"/>
      <c r="R14" s="1367"/>
      <c r="S14" s="1367"/>
      <c r="T14" s="1367"/>
      <c r="U14" s="1367"/>
      <c r="V14" s="520"/>
      <c r="W14" s="1367"/>
      <c r="X14" s="1367"/>
      <c r="Y14" s="1367"/>
      <c r="Z14" s="1367"/>
      <c r="AA14" s="1367"/>
      <c r="AB14" s="1367"/>
      <c r="AC14" s="1367"/>
      <c r="AD14" s="1367"/>
      <c r="AJ14" s="268"/>
      <c r="AK14" s="268"/>
      <c r="AL14" s="283"/>
      <c r="AM14" s="283"/>
      <c r="AN14" s="283"/>
      <c r="AO14" s="283"/>
      <c r="AP14" s="283"/>
      <c r="AQ14" s="283"/>
    </row>
    <row r="15" spans="2:43" s="287" customFormat="1">
      <c r="B15" s="2603" t="s">
        <v>1669</v>
      </c>
      <c r="C15" s="2604"/>
      <c r="D15" s="2604"/>
      <c r="E15" s="2604"/>
      <c r="F15" s="1368"/>
      <c r="G15" s="2604" t="s">
        <v>1670</v>
      </c>
      <c r="H15" s="2604"/>
      <c r="I15" s="2604"/>
      <c r="J15" s="2605"/>
      <c r="O15" s="1367"/>
      <c r="P15" s="1367"/>
      <c r="Q15" s="1367"/>
      <c r="R15" s="1367"/>
      <c r="S15" s="1367"/>
      <c r="T15" s="1367"/>
      <c r="U15" s="1367"/>
      <c r="V15" s="520"/>
      <c r="W15" s="1367"/>
      <c r="X15" s="1367"/>
      <c r="Y15" s="1367"/>
      <c r="Z15" s="1367"/>
      <c r="AA15" s="1367"/>
      <c r="AB15" s="1367"/>
      <c r="AC15" s="1367"/>
      <c r="AD15" s="1367"/>
      <c r="AJ15" s="268"/>
      <c r="AK15" s="268"/>
      <c r="AL15" s="283"/>
      <c r="AM15" s="283"/>
      <c r="AN15" s="283"/>
      <c r="AO15" s="283"/>
      <c r="AP15" s="283"/>
      <c r="AQ15" s="283"/>
    </row>
    <row r="16" spans="2:43" s="287" customFormat="1">
      <c r="B16" s="2609" t="s">
        <v>1671</v>
      </c>
      <c r="C16" s="2610"/>
      <c r="D16" s="2610"/>
      <c r="E16" s="2611"/>
      <c r="F16" s="1369"/>
      <c r="G16" s="2612" t="s">
        <v>1672</v>
      </c>
      <c r="H16" s="2610"/>
      <c r="I16" s="2610"/>
      <c r="J16" s="2613"/>
      <c r="O16" s="1367"/>
      <c r="P16" s="1367"/>
      <c r="Q16" s="1367"/>
      <c r="R16" s="1367"/>
      <c r="S16" s="1367"/>
      <c r="T16" s="1367"/>
      <c r="U16" s="1367"/>
      <c r="V16" s="520"/>
      <c r="W16" s="1367"/>
      <c r="X16" s="1367"/>
      <c r="Y16" s="1367"/>
      <c r="Z16" s="1367"/>
      <c r="AA16" s="1367"/>
      <c r="AB16" s="1367"/>
      <c r="AC16" s="1367"/>
      <c r="AD16" s="1367"/>
      <c r="AJ16" s="268"/>
      <c r="AK16" s="268"/>
      <c r="AL16" s="283"/>
      <c r="AM16" s="283"/>
      <c r="AN16" s="283"/>
      <c r="AO16" s="283"/>
      <c r="AP16" s="283"/>
      <c r="AQ16" s="283"/>
    </row>
    <row r="17" spans="2:43" ht="21.75" customHeight="1">
      <c r="B17" s="1370" t="s">
        <v>1673</v>
      </c>
      <c r="C17" s="1371" t="s">
        <v>279</v>
      </c>
      <c r="D17" s="1371" t="s">
        <v>22</v>
      </c>
      <c r="E17" s="1371" t="s">
        <v>1674</v>
      </c>
      <c r="F17" s="1369"/>
      <c r="G17" s="1371" t="s">
        <v>1673</v>
      </c>
      <c r="H17" s="1371" t="s">
        <v>279</v>
      </c>
      <c r="I17" s="1371" t="s">
        <v>22</v>
      </c>
      <c r="J17" s="1372" t="s">
        <v>1674</v>
      </c>
      <c r="M17" s="289"/>
      <c r="N17" s="289"/>
      <c r="O17" s="290"/>
      <c r="P17" s="290"/>
      <c r="Q17" s="291"/>
      <c r="R17" s="290"/>
      <c r="S17" s="290"/>
      <c r="T17" s="290"/>
      <c r="U17" s="290"/>
      <c r="V17" s="290"/>
      <c r="W17" s="290"/>
      <c r="X17" s="290"/>
      <c r="AJ17" s="292"/>
      <c r="AK17" s="292"/>
      <c r="AL17" s="283"/>
      <c r="AM17" s="283"/>
      <c r="AN17" s="283"/>
      <c r="AO17" s="283"/>
      <c r="AP17" s="283"/>
      <c r="AQ17" s="283"/>
    </row>
    <row r="18" spans="2:43" ht="21.75" customHeight="1">
      <c r="B18" s="1373">
        <f>+'NO DELETE'!BE8*2</f>
        <v>6</v>
      </c>
      <c r="C18" s="1374">
        <f>+VLOOKUP('NO DELETE'!$BD$8,'NO DELETE'!BD13:BF17,3)</f>
        <v>0.2</v>
      </c>
      <c r="D18" s="315">
        <f>+ROUND('NO DELETE'!$BE$8/C18+1,)*2</f>
        <v>32</v>
      </c>
      <c r="E18" s="322">
        <f>+D18*B18</f>
        <v>192</v>
      </c>
      <c r="F18" s="1369"/>
      <c r="G18" s="1374">
        <v>10</v>
      </c>
      <c r="H18" s="1374">
        <f>+'NO DELETE'!BG13</f>
        <v>0.2</v>
      </c>
      <c r="I18" s="315">
        <f>+ROUND('NO DELETE'!$BE$8/H18+1,)*2</f>
        <v>32</v>
      </c>
      <c r="J18" s="1375">
        <f>+I18*G18</f>
        <v>320</v>
      </c>
      <c r="M18" s="289"/>
      <c r="N18" s="289"/>
      <c r="O18" s="290"/>
      <c r="P18" s="290"/>
      <c r="Q18" s="291"/>
      <c r="R18" s="290"/>
      <c r="S18" s="290"/>
      <c r="T18" s="290"/>
      <c r="U18" s="290"/>
      <c r="V18" s="290"/>
      <c r="W18" s="1376"/>
      <c r="X18" s="290"/>
      <c r="AJ18" s="292"/>
      <c r="AK18" s="292"/>
      <c r="AL18" s="283"/>
      <c r="AM18" s="283"/>
      <c r="AN18" s="283"/>
      <c r="AO18" s="283"/>
      <c r="AP18" s="283"/>
      <c r="AQ18" s="283"/>
    </row>
    <row r="19" spans="2:43" ht="24">
      <c r="B19" s="1377"/>
      <c r="C19" s="501"/>
      <c r="D19" s="1369"/>
      <c r="E19" s="1369"/>
      <c r="F19" s="1369"/>
      <c r="G19" s="885"/>
      <c r="H19" s="885"/>
      <c r="I19" s="501"/>
      <c r="J19" s="1378"/>
      <c r="M19" s="289"/>
      <c r="O19" s="290"/>
      <c r="P19" s="290"/>
      <c r="Q19" s="291"/>
      <c r="R19" s="290"/>
      <c r="AJ19" s="292"/>
      <c r="AK19" s="292"/>
      <c r="AL19" s="283"/>
      <c r="AM19" s="283"/>
      <c r="AN19" s="283"/>
      <c r="AO19" s="283"/>
      <c r="AP19" s="283"/>
      <c r="AQ19" s="283"/>
    </row>
    <row r="20" spans="2:43">
      <c r="B20" s="2614" t="s">
        <v>1675</v>
      </c>
      <c r="C20" s="2615"/>
      <c r="D20" s="2615"/>
      <c r="E20" s="2615"/>
      <c r="F20" s="1369"/>
      <c r="G20" s="2615" t="s">
        <v>1676</v>
      </c>
      <c r="H20" s="2615"/>
      <c r="I20" s="2615"/>
      <c r="J20" s="2616"/>
      <c r="M20" s="299"/>
      <c r="O20" s="290"/>
      <c r="P20" s="290"/>
      <c r="Q20" s="290"/>
      <c r="R20" s="290"/>
      <c r="AJ20" s="292"/>
      <c r="AK20" s="292"/>
      <c r="AL20" s="283"/>
      <c r="AM20" s="283"/>
      <c r="AN20" s="283"/>
      <c r="AO20" s="283"/>
      <c r="AP20" s="283"/>
      <c r="AQ20" s="283"/>
    </row>
    <row r="21" spans="2:43">
      <c r="B21" s="2609" t="s">
        <v>1677</v>
      </c>
      <c r="C21" s="2610"/>
      <c r="D21" s="2610"/>
      <c r="E21" s="2611"/>
      <c r="F21" s="1369"/>
      <c r="G21" s="2612" t="s">
        <v>1678</v>
      </c>
      <c r="H21" s="2610"/>
      <c r="I21" s="2610"/>
      <c r="J21" s="2613"/>
      <c r="M21" s="299"/>
      <c r="N21" s="289"/>
      <c r="O21" s="290"/>
      <c r="P21" s="290"/>
      <c r="Q21" s="290"/>
      <c r="R21" s="290"/>
      <c r="AJ21" s="292"/>
      <c r="AK21" s="292"/>
      <c r="AL21" s="283"/>
      <c r="AM21" s="283"/>
      <c r="AN21" s="283"/>
      <c r="AO21" s="283"/>
      <c r="AP21" s="283"/>
      <c r="AQ21" s="283"/>
    </row>
    <row r="22" spans="2:43">
      <c r="B22" s="1370" t="s">
        <v>1673</v>
      </c>
      <c r="C22" s="1371" t="s">
        <v>279</v>
      </c>
      <c r="D22" s="1371" t="s">
        <v>22</v>
      </c>
      <c r="E22" s="1371" t="s">
        <v>1674</v>
      </c>
      <c r="F22" s="1369"/>
      <c r="G22" s="1371" t="s">
        <v>1673</v>
      </c>
      <c r="H22" s="1371" t="s">
        <v>279</v>
      </c>
      <c r="I22" s="1371" t="s">
        <v>22</v>
      </c>
      <c r="J22" s="1372" t="s">
        <v>1674</v>
      </c>
      <c r="M22" s="299"/>
      <c r="AJ22" s="292"/>
      <c r="AK22" s="292"/>
      <c r="AL22" s="283"/>
      <c r="AM22" s="283"/>
      <c r="AN22" s="283"/>
      <c r="AO22" s="283"/>
      <c r="AP22" s="283"/>
      <c r="AQ22" s="283"/>
    </row>
    <row r="23" spans="2:43" ht="22.5" thickBot="1">
      <c r="B23" s="1379">
        <v>0.5</v>
      </c>
      <c r="C23" s="1380">
        <v>0.3</v>
      </c>
      <c r="D23" s="1380">
        <f>+ROUND('NO DELETE'!$BE$8/C23+1,)*2</f>
        <v>22</v>
      </c>
      <c r="E23" s="1381">
        <f>+D23*B23</f>
        <v>11</v>
      </c>
      <c r="F23" s="1211"/>
      <c r="G23" s="1380">
        <v>0.5</v>
      </c>
      <c r="H23" s="1380">
        <v>0.5</v>
      </c>
      <c r="I23" s="1380">
        <f>+ROUND(10/H23+1,)/2</f>
        <v>10.5</v>
      </c>
      <c r="J23" s="1382">
        <f>+I23*G23</f>
        <v>5.25</v>
      </c>
      <c r="K23" s="171"/>
      <c r="L23" s="171"/>
      <c r="X23" s="290"/>
      <c r="AJ23" s="292"/>
      <c r="AK23" s="292"/>
      <c r="AL23" s="283"/>
      <c r="AM23" s="283"/>
      <c r="AN23" s="283"/>
      <c r="AO23" s="283"/>
      <c r="AP23" s="283"/>
      <c r="AQ23" s="283"/>
    </row>
    <row r="24" spans="2:43"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290"/>
      <c r="AJ24" s="292"/>
      <c r="AK24" s="292"/>
      <c r="AL24" s="283"/>
      <c r="AM24" s="283"/>
      <c r="AN24" s="283"/>
      <c r="AO24" s="283"/>
      <c r="AP24" s="283"/>
      <c r="AQ24" s="283"/>
    </row>
    <row r="25" spans="2:43">
      <c r="B25" s="171"/>
      <c r="C25" s="171"/>
      <c r="D25" s="171"/>
      <c r="E25" s="171"/>
      <c r="F25" s="1383" t="s">
        <v>1679</v>
      </c>
      <c r="G25" s="1383" t="s">
        <v>1680</v>
      </c>
      <c r="H25" s="1383" t="s">
        <v>1681</v>
      </c>
      <c r="I25" s="1383" t="s">
        <v>283</v>
      </c>
      <c r="J25" s="1383" t="s">
        <v>1682</v>
      </c>
      <c r="K25" s="171"/>
      <c r="L25" s="171"/>
      <c r="M25" s="290"/>
      <c r="AJ25" s="292"/>
      <c r="AK25" s="292"/>
      <c r="AL25" s="283"/>
      <c r="AM25" s="283"/>
      <c r="AN25" s="283"/>
      <c r="AO25" s="283"/>
      <c r="AP25" s="283"/>
      <c r="AQ25" s="283"/>
    </row>
    <row r="26" spans="2:43" ht="22.5" customHeight="1">
      <c r="B26" s="2601" t="s">
        <v>1683</v>
      </c>
      <c r="C26" s="2601"/>
      <c r="D26" s="2601"/>
      <c r="E26" s="2601"/>
      <c r="F26" s="1384">
        <f>+E18*2</f>
        <v>384</v>
      </c>
      <c r="G26" s="1385">
        <f>+F26*$F$30*1.1</f>
        <v>36960</v>
      </c>
      <c r="H26" s="1386">
        <f>+G26*0.222</f>
        <v>8205.1200000000008</v>
      </c>
      <c r="I26" s="1203">
        <f>+E13*'NO DELETE'!AZ8*2</f>
        <v>350</v>
      </c>
      <c r="J26" s="1203">
        <f>+G13</f>
        <v>5250</v>
      </c>
      <c r="K26" s="171"/>
      <c r="L26" s="171"/>
      <c r="M26" s="290"/>
      <c r="N26" s="970"/>
      <c r="AJ26" s="292"/>
      <c r="AK26" s="292"/>
      <c r="AL26" s="283"/>
      <c r="AM26" s="283"/>
      <c r="AN26" s="283"/>
      <c r="AO26" s="283"/>
      <c r="AP26" s="283"/>
      <c r="AQ26" s="283"/>
    </row>
    <row r="27" spans="2:43">
      <c r="B27" s="2601" t="s">
        <v>1684</v>
      </c>
      <c r="C27" s="2601"/>
      <c r="D27" s="2601"/>
      <c r="E27" s="2601"/>
      <c r="F27" s="1384">
        <f>+J18*2</f>
        <v>640</v>
      </c>
      <c r="G27" s="1385">
        <f>+(F27*$F$30-E23)*1.1</f>
        <v>61587.9</v>
      </c>
      <c r="H27" s="1386">
        <f>+G27*0.499</f>
        <v>30732.362100000002</v>
      </c>
      <c r="I27" s="749"/>
      <c r="J27" s="749"/>
      <c r="K27" s="171"/>
      <c r="L27" s="171"/>
      <c r="AJ27" s="292"/>
      <c r="AK27" s="292"/>
      <c r="AL27" s="283"/>
      <c r="AM27" s="283"/>
      <c r="AN27" s="283"/>
      <c r="AO27" s="283"/>
      <c r="AP27" s="283"/>
      <c r="AQ27" s="283"/>
    </row>
    <row r="28" spans="2:43" ht="22.5" customHeight="1">
      <c r="B28" s="2601" t="s">
        <v>1685</v>
      </c>
      <c r="C28" s="2601"/>
      <c r="D28" s="2601"/>
      <c r="E28" s="2601"/>
      <c r="F28" s="1384">
        <f>+E23*2</f>
        <v>22</v>
      </c>
      <c r="G28" s="1385">
        <f>+F28*$F$30*1.1</f>
        <v>2117.5</v>
      </c>
      <c r="H28" s="1386">
        <f>+G28*3.85</f>
        <v>8152.375</v>
      </c>
      <c r="I28" s="749"/>
      <c r="J28" s="749"/>
      <c r="K28" s="171"/>
      <c r="L28" s="171"/>
      <c r="AJ28" s="292"/>
      <c r="AK28" s="292"/>
      <c r="AL28" s="283"/>
      <c r="AM28" s="283"/>
      <c r="AN28" s="283"/>
      <c r="AO28" s="283"/>
      <c r="AP28" s="283"/>
      <c r="AQ28" s="283"/>
    </row>
    <row r="29" spans="2:43">
      <c r="B29" s="2601" t="s">
        <v>1686</v>
      </c>
      <c r="C29" s="2601"/>
      <c r="D29" s="2601"/>
      <c r="E29" s="2601"/>
      <c r="F29" s="1196">
        <f>+J23</f>
        <v>5.25</v>
      </c>
      <c r="G29" s="1385">
        <f>+F29*$F$30*1.1</f>
        <v>505.31250000000006</v>
      </c>
      <c r="H29" s="1386">
        <f>+G29*0.889</f>
        <v>449.22281250000003</v>
      </c>
      <c r="I29" s="749"/>
      <c r="J29" s="749"/>
      <c r="K29" s="171"/>
      <c r="L29" s="171"/>
      <c r="X29" s="290"/>
      <c r="AJ29" s="292"/>
      <c r="AK29" s="292"/>
      <c r="AL29" s="283"/>
      <c r="AM29" s="283"/>
      <c r="AN29" s="283"/>
      <c r="AO29" s="283"/>
      <c r="AP29" s="283"/>
      <c r="AQ29" s="283"/>
    </row>
    <row r="30" spans="2:43" ht="21.75" customHeight="1">
      <c r="B30" s="2602" t="s">
        <v>1687</v>
      </c>
      <c r="C30" s="2602"/>
      <c r="D30" s="2602"/>
      <c r="E30" s="2602"/>
      <c r="F30" s="1387">
        <f>+E7/10</f>
        <v>87.5</v>
      </c>
      <c r="G30" s="1388"/>
      <c r="H30" s="1389">
        <f>SUM(H26:H29)</f>
        <v>47539.079912499998</v>
      </c>
      <c r="I30" s="1389">
        <f>SUM(I26:I29)</f>
        <v>350</v>
      </c>
      <c r="J30" s="1389">
        <f>SUM(J26:J29)</f>
        <v>5250</v>
      </c>
      <c r="K30" s="171"/>
      <c r="L30" s="171"/>
      <c r="AJ30" s="292"/>
      <c r="AK30" s="292"/>
      <c r="AL30" s="283"/>
      <c r="AM30" s="283"/>
      <c r="AN30" s="283"/>
      <c r="AO30" s="283"/>
      <c r="AP30" s="283"/>
      <c r="AQ30" s="283"/>
    </row>
    <row r="31" spans="2:43" s="287" customFormat="1" ht="21.75" customHeight="1">
      <c r="B31" s="2602" t="s">
        <v>1688</v>
      </c>
      <c r="C31" s="2602"/>
      <c r="D31" s="2602"/>
      <c r="E31" s="2602"/>
      <c r="F31" s="1390">
        <f>+'NO DELETE'!BE8*2*0.025*0.025+5*0.01*0.05</f>
        <v>6.2500000000000012E-3</v>
      </c>
      <c r="G31" s="1385">
        <f>+F31*$F$30</f>
        <v>0.54687500000000011</v>
      </c>
      <c r="H31" s="316">
        <f>+F30*2</f>
        <v>175</v>
      </c>
      <c r="I31" s="316">
        <f>+H31/15</f>
        <v>11.666666666666666</v>
      </c>
      <c r="J31" s="322">
        <f>+I31*1000</f>
        <v>11666.666666666666</v>
      </c>
      <c r="K31" s="905"/>
      <c r="L31" s="905"/>
      <c r="O31" s="1367"/>
      <c r="P31" s="1367"/>
      <c r="Q31" s="1367"/>
      <c r="R31" s="1367"/>
      <c r="S31" s="1367"/>
      <c r="T31" s="1367"/>
      <c r="U31" s="1367"/>
      <c r="V31" s="1367"/>
      <c r="W31" s="1367"/>
      <c r="X31" s="1367"/>
      <c r="Y31" s="1367"/>
      <c r="Z31" s="1367"/>
      <c r="AA31" s="1367"/>
      <c r="AB31" s="1367"/>
      <c r="AC31" s="1367"/>
      <c r="AD31" s="1367"/>
      <c r="AJ31" s="1392"/>
      <c r="AK31" s="1392"/>
      <c r="AL31" s="434"/>
      <c r="AM31" s="434"/>
      <c r="AN31" s="434"/>
      <c r="AO31" s="434"/>
      <c r="AP31" s="434"/>
      <c r="AQ31" s="434"/>
    </row>
    <row r="32" spans="2:43" s="287" customFormat="1" ht="21.75" customHeight="1">
      <c r="B32" s="2602" t="s">
        <v>2021</v>
      </c>
      <c r="C32" s="2602"/>
      <c r="D32" s="2602"/>
      <c r="E32" s="2602"/>
      <c r="F32" s="1390"/>
      <c r="G32" s="1385">
        <f>+G13</f>
        <v>5250</v>
      </c>
      <c r="H32" s="316"/>
      <c r="I32" s="316"/>
      <c r="J32" s="322"/>
      <c r="K32" s="905"/>
      <c r="L32" s="905"/>
      <c r="O32" s="1367"/>
      <c r="P32" s="1367"/>
      <c r="Q32" s="1367"/>
      <c r="R32" s="1367"/>
      <c r="S32" s="1367"/>
      <c r="T32" s="1367"/>
      <c r="U32" s="1367"/>
      <c r="V32" s="1367"/>
      <c r="W32" s="1367"/>
      <c r="X32" s="1367"/>
      <c r="Y32" s="1367"/>
      <c r="Z32" s="1367"/>
      <c r="AA32" s="1367"/>
      <c r="AB32" s="1367"/>
      <c r="AC32" s="1367"/>
      <c r="AD32" s="1367"/>
      <c r="AJ32" s="1392"/>
      <c r="AK32" s="1392"/>
      <c r="AL32" s="434"/>
      <c r="AM32" s="434"/>
      <c r="AN32" s="434"/>
      <c r="AO32" s="434"/>
      <c r="AP32" s="434"/>
      <c r="AQ32" s="434"/>
    </row>
    <row r="33" spans="2:43" s="287" customFormat="1" ht="21.75" customHeight="1">
      <c r="B33" s="2602" t="s">
        <v>1716</v>
      </c>
      <c r="C33" s="2602"/>
      <c r="D33" s="2602"/>
      <c r="E33" s="2602"/>
      <c r="F33" s="1390">
        <f>1.2*'NO DELETE'!BE8*2</f>
        <v>7.1999999999999993</v>
      </c>
      <c r="G33" s="1385">
        <f>+F30*F33</f>
        <v>629.99999999999989</v>
      </c>
      <c r="H33" s="316"/>
      <c r="I33" s="316"/>
      <c r="J33" s="322"/>
      <c r="K33" s="905"/>
      <c r="L33" s="905"/>
      <c r="O33" s="1367"/>
      <c r="P33" s="1367"/>
      <c r="Q33" s="1367"/>
      <c r="R33" s="1367"/>
      <c r="S33" s="1367"/>
      <c r="T33" s="1367"/>
      <c r="U33" s="1367"/>
      <c r="V33" s="1367"/>
      <c r="W33" s="1367"/>
      <c r="X33" s="1367"/>
      <c r="Y33" s="1367"/>
      <c r="Z33" s="1367"/>
      <c r="AA33" s="1367"/>
      <c r="AB33" s="1367"/>
      <c r="AC33" s="1367"/>
      <c r="AD33" s="1367"/>
      <c r="AJ33" s="1392"/>
      <c r="AK33" s="1392"/>
      <c r="AL33" s="434"/>
      <c r="AM33" s="434"/>
      <c r="AN33" s="434"/>
      <c r="AO33" s="434"/>
      <c r="AP33" s="434"/>
      <c r="AQ33" s="434"/>
    </row>
    <row r="34" spans="2:43" s="287" customFormat="1" ht="21.75" customHeight="1">
      <c r="B34" s="1393"/>
      <c r="C34" s="1393"/>
      <c r="D34" s="1393"/>
      <c r="E34" s="1393"/>
      <c r="F34" s="1394"/>
      <c r="G34" s="1395"/>
      <c r="H34" s="1391"/>
      <c r="I34" s="1391"/>
      <c r="J34" s="1391"/>
      <c r="K34" s="905"/>
      <c r="L34" s="905"/>
      <c r="O34" s="1367"/>
      <c r="P34" s="1367"/>
      <c r="Q34" s="1367"/>
      <c r="R34" s="1367"/>
      <c r="S34" s="1367"/>
      <c r="T34" s="1367"/>
      <c r="U34" s="1367"/>
      <c r="V34" s="1367"/>
      <c r="W34" s="1367"/>
      <c r="X34" s="1367"/>
      <c r="Y34" s="1367"/>
      <c r="Z34" s="1367"/>
      <c r="AA34" s="1367"/>
      <c r="AB34" s="1367"/>
      <c r="AC34" s="1367"/>
      <c r="AD34" s="1367"/>
      <c r="AJ34" s="1392"/>
      <c r="AK34" s="1392"/>
      <c r="AL34" s="434"/>
      <c r="AM34" s="434"/>
      <c r="AN34" s="434"/>
      <c r="AO34" s="434"/>
      <c r="AP34" s="434"/>
      <c r="AQ34" s="434"/>
    </row>
    <row r="35" spans="2:43" ht="21.75" customHeight="1"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AJ35" s="292"/>
      <c r="AK35" s="292"/>
      <c r="AL35" s="283"/>
      <c r="AM35" s="283"/>
      <c r="AN35" s="283"/>
      <c r="AO35" s="283"/>
      <c r="AP35" s="283"/>
      <c r="AQ35" s="283"/>
    </row>
    <row r="36" spans="2:43">
      <c r="B36" s="1403"/>
      <c r="C36" s="1403"/>
      <c r="D36" s="1403"/>
      <c r="E36" s="1403"/>
      <c r="F36" s="1403"/>
      <c r="G36" s="1403"/>
      <c r="H36" s="1403"/>
      <c r="I36" s="1403"/>
      <c r="J36" s="1403"/>
      <c r="K36" s="1403"/>
      <c r="L36" s="1403"/>
    </row>
    <row r="37" spans="2:43">
      <c r="E37" s="317"/>
      <c r="F37" s="317"/>
      <c r="H37" s="318"/>
      <c r="J37" s="1060"/>
      <c r="K37" s="1060"/>
    </row>
  </sheetData>
  <protectedRanges>
    <protectedRange sqref="B36:C37 D37 B24:B25 D24:E25" name="Range10"/>
    <protectedRange sqref="B35:E35" name="Range10_2_1"/>
    <protectedRange sqref="B7:D7" name="Range10_2_1_2"/>
  </protectedRanges>
  <mergeCells count="21">
    <mergeCell ref="B26:E26"/>
    <mergeCell ref="B16:E16"/>
    <mergeCell ref="G16:J16"/>
    <mergeCell ref="B20:E20"/>
    <mergeCell ref="G20:J20"/>
    <mergeCell ref="B21:E21"/>
    <mergeCell ref="G21:J21"/>
    <mergeCell ref="B15:E15"/>
    <mergeCell ref="G15:J15"/>
    <mergeCell ref="B1:K1"/>
    <mergeCell ref="G3:H3"/>
    <mergeCell ref="B4:K4"/>
    <mergeCell ref="B5:C6"/>
    <mergeCell ref="F5:F6"/>
    <mergeCell ref="B27:E27"/>
    <mergeCell ref="B28:E28"/>
    <mergeCell ref="B29:E29"/>
    <mergeCell ref="B30:E30"/>
    <mergeCell ref="B33:E33"/>
    <mergeCell ref="B31:E31"/>
    <mergeCell ref="B32:E32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80" orientation="portrait" blackAndWhite="1" horizontalDpi="1200" verticalDpi="1200" r:id="rId1"/>
  <headerFooter alignWithMargins="0"/>
  <rowBreaks count="1" manualBreakCount="1">
    <brk id="35" max="16383" man="1"/>
  </row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00FF"/>
  </sheetPr>
  <dimension ref="A1:Q40"/>
  <sheetViews>
    <sheetView zoomScale="120" zoomScaleNormal="120" workbookViewId="0">
      <selection sqref="A1:L1"/>
    </sheetView>
  </sheetViews>
  <sheetFormatPr defaultColWidth="9.140625" defaultRowHeight="21.75"/>
  <cols>
    <col min="1" max="1" width="6.5703125" style="147" customWidth="1"/>
    <col min="2" max="2" width="7.85546875" style="147" customWidth="1"/>
    <col min="3" max="3" width="7.140625" style="147" customWidth="1"/>
    <col min="4" max="4" width="9.140625" style="147"/>
    <col min="5" max="5" width="8.7109375" style="147" customWidth="1"/>
    <col min="6" max="6" width="7.7109375" style="147" customWidth="1"/>
    <col min="7" max="7" width="8.42578125" style="147" customWidth="1"/>
    <col min="8" max="8" width="7.7109375" style="147" customWidth="1"/>
    <col min="9" max="9" width="14.7109375" style="216" customWidth="1"/>
    <col min="10" max="10" width="12.42578125" style="215" customWidth="1"/>
    <col min="11" max="11" width="7.5703125" style="147" customWidth="1"/>
    <col min="12" max="12" width="6" style="147" customWidth="1"/>
    <col min="13" max="13" width="9.140625" style="1142"/>
    <col min="14" max="14" width="17.85546875" style="1142" customWidth="1"/>
    <col min="15" max="15" width="18" style="1142" bestFit="1" customWidth="1"/>
    <col min="16" max="16" width="12.85546875" style="1142" customWidth="1"/>
    <col min="17" max="17" width="9.42578125" style="147" bestFit="1" customWidth="1"/>
    <col min="18" max="18" width="12" style="147" bestFit="1" customWidth="1"/>
    <col min="19" max="16384" width="9.140625" style="147"/>
  </cols>
  <sheetData>
    <row r="1" spans="1:17" s="213" customFormat="1" ht="23.25" customHeight="1">
      <c r="A1" s="2617" t="str">
        <f>"สรุปราคากลางค่า"&amp;'NO DELETE'!P49</f>
        <v>สรุปราคากลางค่าบำรุงรักษาระบบโครงข่ายทาง</v>
      </c>
      <c r="B1" s="2617"/>
      <c r="C1" s="2617"/>
      <c r="D1" s="2617"/>
      <c r="E1" s="2617"/>
      <c r="F1" s="2617"/>
      <c r="G1" s="2617"/>
      <c r="H1" s="2617"/>
      <c r="I1" s="2617"/>
      <c r="J1" s="2617"/>
      <c r="K1" s="2617"/>
      <c r="L1" s="2617"/>
      <c r="M1" s="1142"/>
      <c r="N1" s="1142"/>
      <c r="O1" s="1142"/>
      <c r="P1" s="1142"/>
    </row>
    <row r="2" spans="1:17" s="213" customFormat="1" ht="23.25" customHeight="1">
      <c r="A2" s="2617" t="str">
        <f>'1.ต้นทุนถนน AC.'!$B$4</f>
        <v xml:space="preserve"> สำนักงานทางหลวงชนบทที่ 12(สงขลา) กรมทางหลวงชนบท</v>
      </c>
      <c r="B2" s="2617"/>
      <c r="C2" s="2617"/>
      <c r="D2" s="2617"/>
      <c r="E2" s="2617"/>
      <c r="F2" s="2617"/>
      <c r="G2" s="2617"/>
      <c r="H2" s="2617"/>
      <c r="I2" s="2617"/>
      <c r="J2" s="2617"/>
      <c r="K2" s="2617"/>
      <c r="L2" s="2617"/>
      <c r="M2" s="1142"/>
      <c r="N2" s="1142"/>
      <c r="O2" s="1142"/>
      <c r="P2" s="1142"/>
    </row>
    <row r="3" spans="1:17" ht="30" customHeight="1">
      <c r="H3" s="1143" t="str">
        <f>+"วันที่ "&amp;แหล่งวัสดุ!I2&amp;"  "&amp;แหล่งวัสดุ!K2&amp;" พ.ศ. "&amp;แหล่งวัสดุ!M2</f>
        <v>วันที่ 10  พฤศจิกายน พ.ศ. 2558</v>
      </c>
    </row>
    <row r="4" spans="1:17">
      <c r="A4" s="1009" t="s">
        <v>219</v>
      </c>
      <c r="C4" s="217" t="str">
        <f>+'1.ต้นทุนถนน AC.'!D6</f>
        <v xml:space="preserve">บำรุงพิเศษ ซ่อมสร้างผิวทาง Asphaltic Concrete </v>
      </c>
      <c r="J4" s="216"/>
    </row>
    <row r="5" spans="1:17" ht="27.75">
      <c r="A5" s="1009" t="s">
        <v>379</v>
      </c>
      <c r="C5" s="217" t="str">
        <f>'1.ต้นทุนถนน AC.'!$D$7</f>
        <v>แขวงทางหลวงชนบทสงขลา</v>
      </c>
      <c r="I5" s="1144" t="s">
        <v>375</v>
      </c>
      <c r="J5" s="1145">
        <f>+'1.ต้นทุนถนน AC.'!M7</f>
        <v>2559</v>
      </c>
    </row>
    <row r="6" spans="1:17">
      <c r="A6" s="1009" t="s">
        <v>380</v>
      </c>
      <c r="C6" s="1146" t="str">
        <f>+แหล่งวัสดุ!C5</f>
        <v>ปน.4031</v>
      </c>
      <c r="E6" s="1147" t="s">
        <v>362</v>
      </c>
      <c r="F6" s="147" t="str">
        <f>'1.ต้นทุนถนน AC.'!G8</f>
        <v>แยกทางหลวงหมายเลข 4157-บ้านปาตา</v>
      </c>
      <c r="I6" s="147"/>
      <c r="J6" s="216"/>
      <c r="K6" s="215"/>
    </row>
    <row r="7" spans="1:17" ht="21.75" customHeight="1">
      <c r="A7" s="1009" t="s">
        <v>381</v>
      </c>
      <c r="C7" s="1148" t="str">
        <f>+ปร.5_Roads!C7</f>
        <v>อำเภอ  ปะนาเระ,ยะหริ่ง จังหวัด ปัตตานี</v>
      </c>
      <c r="E7" s="217"/>
      <c r="H7" s="1149" t="s">
        <v>383</v>
      </c>
      <c r="I7" s="147"/>
      <c r="J7" s="1150">
        <f>+'1.ต้นทุนถนน AC.'!I9</f>
        <v>12.965999999999999</v>
      </c>
      <c r="K7" s="1151" t="s">
        <v>257</v>
      </c>
    </row>
    <row r="8" spans="1:17">
      <c r="A8" s="1009" t="s">
        <v>382</v>
      </c>
      <c r="D8" s="1157" t="s">
        <v>150</v>
      </c>
      <c r="E8" s="1157"/>
      <c r="F8" s="1158" t="str">
        <f>+ปร.5_Roads!F8</f>
        <v>CS</v>
      </c>
      <c r="G8" s="1159" t="s">
        <v>376</v>
      </c>
      <c r="H8" s="1157"/>
      <c r="I8" s="1160">
        <f>+ปร.5_Roads!I8</f>
        <v>6</v>
      </c>
      <c r="J8" s="1161" t="s">
        <v>47</v>
      </c>
      <c r="K8" s="1162"/>
    </row>
    <row r="9" spans="1:17">
      <c r="A9" s="147" t="s">
        <v>151</v>
      </c>
      <c r="D9" s="1157" t="s">
        <v>152</v>
      </c>
      <c r="E9" s="1157"/>
      <c r="F9" s="1158" t="str">
        <f>+ปร.5_Roads!F9</f>
        <v>CS</v>
      </c>
      <c r="G9" s="1159" t="s">
        <v>376</v>
      </c>
      <c r="H9" s="1157"/>
      <c r="I9" s="1160" t="str">
        <f>+ปร.5_Roads!I9</f>
        <v>0.00 - 1.00</v>
      </c>
      <c r="J9" s="1161" t="s">
        <v>47</v>
      </c>
      <c r="K9" s="1162"/>
    </row>
    <row r="10" spans="1:17" ht="21.75" customHeight="1">
      <c r="A10" s="1152" t="s">
        <v>2017</v>
      </c>
      <c r="B10" s="148"/>
      <c r="C10" s="148"/>
      <c r="D10" s="1163"/>
      <c r="E10" s="2618">
        <v>1</v>
      </c>
      <c r="F10" s="2618"/>
      <c r="G10" s="1164" t="s">
        <v>119</v>
      </c>
      <c r="H10" s="1157"/>
      <c r="I10" s="1165" t="s">
        <v>153</v>
      </c>
      <c r="J10" s="1160" t="str">
        <f>+ปร.5_Roads!J10</f>
        <v>6.00 - 8.00</v>
      </c>
      <c r="K10" s="1166" t="s">
        <v>47</v>
      </c>
    </row>
    <row r="11" spans="1:17" hidden="1">
      <c r="A11" s="1153"/>
      <c r="C11" s="177" t="s">
        <v>1206</v>
      </c>
      <c r="D11" s="1167" t="s">
        <v>377</v>
      </c>
      <c r="E11" s="1168">
        <f>+ปร.5_Roads!E11</f>
        <v>3437</v>
      </c>
      <c r="F11" s="1169" t="s">
        <v>378</v>
      </c>
      <c r="G11" s="1168">
        <f>+ปร.5_Roads!G11</f>
        <v>4960</v>
      </c>
      <c r="H11" s="1169" t="s">
        <v>21</v>
      </c>
      <c r="I11" s="1170">
        <f>+ปร.5_Roads!I11</f>
        <v>1.5229999999999999</v>
      </c>
      <c r="J11" s="1171" t="s">
        <v>257</v>
      </c>
      <c r="K11" s="1157"/>
    </row>
    <row r="12" spans="1:17" hidden="1">
      <c r="C12" s="1154"/>
      <c r="D12" s="1167" t="s">
        <v>377</v>
      </c>
      <c r="E12" s="1168"/>
      <c r="F12" s="1169" t="s">
        <v>378</v>
      </c>
      <c r="G12" s="1168"/>
      <c r="H12" s="1169" t="s">
        <v>21</v>
      </c>
      <c r="I12" s="1170"/>
      <c r="J12" s="1171" t="s">
        <v>257</v>
      </c>
      <c r="K12" s="1157"/>
    </row>
    <row r="13" spans="1:17" hidden="1">
      <c r="A13" s="1155"/>
      <c r="C13" s="177" t="s">
        <v>1207</v>
      </c>
      <c r="D13" s="1167" t="s">
        <v>377</v>
      </c>
      <c r="E13" s="1168"/>
      <c r="F13" s="1169" t="s">
        <v>378</v>
      </c>
      <c r="G13" s="1168"/>
      <c r="H13" s="1169" t="s">
        <v>21</v>
      </c>
      <c r="I13" s="1170"/>
      <c r="J13" s="1171" t="s">
        <v>257</v>
      </c>
      <c r="K13" s="1157"/>
      <c r="Q13" s="171"/>
    </row>
    <row r="14" spans="1:17" hidden="1">
      <c r="A14" s="1155"/>
      <c r="D14" s="1173" t="s">
        <v>377</v>
      </c>
      <c r="E14" s="1168"/>
      <c r="F14" s="1169" t="s">
        <v>378</v>
      </c>
      <c r="G14" s="1168"/>
      <c r="H14" s="1174" t="s">
        <v>21</v>
      </c>
      <c r="I14" s="1172"/>
      <c r="J14" s="1171" t="s">
        <v>257</v>
      </c>
      <c r="K14" s="1157"/>
      <c r="Q14" s="171"/>
    </row>
    <row r="15" spans="1:17" ht="21.75" customHeight="1">
      <c r="A15" s="2299" t="s">
        <v>0</v>
      </c>
      <c r="B15" s="2619" t="s">
        <v>1</v>
      </c>
      <c r="C15" s="2620"/>
      <c r="D15" s="2620"/>
      <c r="E15" s="2620"/>
      <c r="F15" s="2620"/>
      <c r="G15" s="2620"/>
      <c r="H15" s="2621"/>
      <c r="I15" s="2300" t="s">
        <v>154</v>
      </c>
      <c r="J15" s="2622" t="s">
        <v>155</v>
      </c>
      <c r="K15" s="2623"/>
      <c r="L15" s="2624"/>
      <c r="Q15" s="171"/>
    </row>
    <row r="16" spans="1:17">
      <c r="A16" s="221">
        <v>1</v>
      </c>
      <c r="B16" s="222" t="s">
        <v>156</v>
      </c>
      <c r="C16" s="223"/>
      <c r="D16" s="223"/>
      <c r="E16" s="223"/>
      <c r="F16" s="224"/>
      <c r="G16" s="224"/>
      <c r="H16" s="225"/>
      <c r="I16" s="226">
        <f>+ปร.5_Roads!I18</f>
        <v>7547959.2525959006</v>
      </c>
      <c r="J16" s="227" t="s">
        <v>2</v>
      </c>
      <c r="K16" s="223"/>
      <c r="L16" s="228"/>
      <c r="Q16" s="171"/>
    </row>
    <row r="17" spans="1:17">
      <c r="A17" s="229">
        <v>2</v>
      </c>
      <c r="B17" s="230" t="str">
        <f>+ปร.5_Roads!B19</f>
        <v>ค่างานต้นทุนท่อลอดเหลี่ยม</v>
      </c>
      <c r="C17" s="148"/>
      <c r="D17" s="148"/>
      <c r="E17" s="148"/>
      <c r="F17" s="231"/>
      <c r="G17" s="231"/>
      <c r="H17" s="232"/>
      <c r="I17" s="233">
        <f>+ปร.5_Roads!I19</f>
        <v>0</v>
      </c>
      <c r="J17" s="234" t="s">
        <v>158</v>
      </c>
      <c r="K17" s="148"/>
      <c r="L17" s="235">
        <f>แหล่งวัสดุ!$L$25/100</f>
        <v>7.0000000000000007E-2</v>
      </c>
      <c r="Q17" s="171"/>
    </row>
    <row r="18" spans="1:17">
      <c r="A18" s="2396">
        <v>3</v>
      </c>
      <c r="B18" s="230" t="str">
        <f>+ปร.5_Roads!B20</f>
        <v>ประเภทงานทั่วไป</v>
      </c>
      <c r="C18" s="148"/>
      <c r="D18" s="148"/>
      <c r="E18" s="148"/>
      <c r="F18" s="148"/>
      <c r="G18" s="148"/>
      <c r="H18" s="238" t="s">
        <v>149</v>
      </c>
      <c r="I18" s="233">
        <f>+ปร.5_Roads!I20</f>
        <v>0</v>
      </c>
      <c r="J18" s="234" t="s">
        <v>157</v>
      </c>
      <c r="K18" s="148"/>
      <c r="L18" s="235">
        <f>แหล่งวัสดุ!$L$26/100</f>
        <v>0.15</v>
      </c>
      <c r="Q18" s="171"/>
    </row>
    <row r="19" spans="1:17">
      <c r="A19" s="2396">
        <v>4</v>
      </c>
      <c r="B19" s="230" t="str">
        <f>+ปร.5_Roads!B21</f>
        <v>แรงจูงใจการทำงานตามมติคณะรัฐมนตรี</v>
      </c>
      <c r="C19" s="148"/>
      <c r="D19" s="148"/>
      <c r="E19" s="148"/>
      <c r="F19" s="148"/>
      <c r="G19" s="148"/>
      <c r="H19" s="238"/>
      <c r="I19" s="233">
        <f>+ปร.5_Roads!I21</f>
        <v>377393.44740410056</v>
      </c>
      <c r="J19" s="234" t="s">
        <v>159</v>
      </c>
      <c r="K19" s="148"/>
      <c r="L19" s="235">
        <f>แหล่งวัสดุ!$L$28/100</f>
        <v>0</v>
      </c>
      <c r="Q19" s="171"/>
    </row>
    <row r="20" spans="1:17" ht="24">
      <c r="A20" s="240"/>
      <c r="B20" s="241"/>
      <c r="C20" s="242"/>
      <c r="D20" s="242"/>
      <c r="E20" s="242"/>
      <c r="F20" s="242"/>
      <c r="G20" s="242"/>
      <c r="H20" s="243"/>
      <c r="I20" s="244"/>
      <c r="J20" s="245" t="str">
        <f>"- พื้นที่ ฝนตกชุก "</f>
        <v xml:space="preserve">- พื้นที่ ฝนตกชุก </v>
      </c>
      <c r="K20" s="1156">
        <f>+แหล่งวัสดุ!H4</f>
        <v>1</v>
      </c>
      <c r="L20" s="243"/>
      <c r="Q20" s="171"/>
    </row>
    <row r="21" spans="1:17">
      <c r="A21" s="201" t="s">
        <v>160</v>
      </c>
      <c r="B21" s="204" t="s">
        <v>161</v>
      </c>
      <c r="I21" s="247">
        <f>SUM(I16:I20)</f>
        <v>7925352.7000000011</v>
      </c>
      <c r="J21" s="234"/>
      <c r="K21" s="148"/>
      <c r="L21" s="238"/>
      <c r="Q21" s="171"/>
    </row>
    <row r="22" spans="1:17" ht="22.5" thickBot="1">
      <c r="A22" s="204"/>
      <c r="B22" s="204" t="s">
        <v>162</v>
      </c>
      <c r="I22" s="2301">
        <f>+ปร.5_Roads!I24</f>
        <v>7920000</v>
      </c>
      <c r="J22" s="234"/>
      <c r="K22" s="148"/>
      <c r="L22" s="238"/>
      <c r="Q22" s="171"/>
    </row>
    <row r="23" spans="1:17" ht="22.5" thickTop="1">
      <c r="A23" s="241"/>
      <c r="B23" s="241" t="str">
        <f xml:space="preserve"> "(เงิน"&amp;BAHTTEXT($I$22)&amp;")"</f>
        <v>(เงินเจ็ดล้านเก้าแสนสองหมื่นบาทถ้วน)</v>
      </c>
      <c r="C23" s="250"/>
      <c r="D23" s="242"/>
      <c r="E23" s="242"/>
      <c r="F23" s="242"/>
      <c r="G23" s="242"/>
      <c r="H23" s="242"/>
      <c r="I23" s="251"/>
      <c r="J23" s="252"/>
      <c r="K23" s="242"/>
      <c r="L23" s="243"/>
    </row>
    <row r="24" spans="1:17">
      <c r="D24" s="2628"/>
      <c r="E24" s="2628"/>
      <c r="I24" s="1187"/>
      <c r="J24" s="147"/>
      <c r="M24" s="147"/>
      <c r="N24" s="147"/>
      <c r="O24" s="147"/>
      <c r="P24" s="147"/>
    </row>
    <row r="25" spans="1:17" ht="24">
      <c r="A25" s="1188" t="s">
        <v>460</v>
      </c>
      <c r="H25" s="1189" t="s">
        <v>1389</v>
      </c>
      <c r="J25" s="1138"/>
      <c r="K25" s="1138"/>
      <c r="L25" s="214"/>
      <c r="M25" s="214"/>
      <c r="N25" s="147"/>
      <c r="O25" s="147"/>
      <c r="P25" s="147"/>
    </row>
    <row r="26" spans="1:17">
      <c r="D26" s="253"/>
      <c r="E26" s="253"/>
      <c r="H26" s="1190" t="s">
        <v>1390</v>
      </c>
      <c r="J26" s="1190"/>
      <c r="K26" s="214"/>
      <c r="L26" s="214"/>
      <c r="M26" s="214"/>
      <c r="N26" s="147"/>
      <c r="O26" s="147"/>
      <c r="P26" s="147"/>
    </row>
    <row r="27" spans="1:17" s="213" customFormat="1" ht="19.5" customHeight="1">
      <c r="A27" s="254"/>
      <c r="B27" s="255" t="s">
        <v>1397</v>
      </c>
      <c r="D27" s="255"/>
      <c r="E27" s="213" t="s">
        <v>1391</v>
      </c>
      <c r="H27" s="259" t="s">
        <v>1392</v>
      </c>
      <c r="J27" s="259"/>
      <c r="K27" s="259"/>
      <c r="L27" s="259"/>
      <c r="M27" s="259"/>
    </row>
    <row r="28" spans="1:17" s="213" customFormat="1">
      <c r="A28" s="254"/>
      <c r="B28" s="257" t="s">
        <v>1393</v>
      </c>
      <c r="C28" s="257"/>
      <c r="D28" s="257"/>
      <c r="E28" s="257" t="str">
        <f>+ปร.5_Roads!H36</f>
        <v>วิศวกรโยธาชำนาญการ</v>
      </c>
      <c r="G28" s="257"/>
      <c r="H28" s="1190" t="s">
        <v>1394</v>
      </c>
      <c r="J28" s="259"/>
      <c r="K28" s="259"/>
      <c r="L28" s="257"/>
      <c r="M28" s="259"/>
    </row>
    <row r="29" spans="1:17" s="213" customFormat="1" ht="21.95" customHeight="1">
      <c r="A29" s="254"/>
      <c r="B29"/>
      <c r="F29" s="1142"/>
      <c r="H29" s="257"/>
      <c r="I29" s="259"/>
      <c r="J29" s="259"/>
      <c r="K29" s="259"/>
      <c r="L29" s="259"/>
      <c r="M29" s="259"/>
    </row>
    <row r="30" spans="1:17" s="213" customFormat="1">
      <c r="A30" s="254"/>
      <c r="B30" s="255" t="s">
        <v>1397</v>
      </c>
      <c r="D30"/>
      <c r="E30" s="213" t="s">
        <v>721</v>
      </c>
      <c r="H30" s="255" t="s">
        <v>1398</v>
      </c>
      <c r="J30" s="257"/>
      <c r="K30" s="259"/>
      <c r="L30" s="259"/>
      <c r="M30" s="259"/>
    </row>
    <row r="31" spans="1:17" s="213" customFormat="1">
      <c r="A31" s="254"/>
      <c r="B31" s="257" t="s">
        <v>1395</v>
      </c>
      <c r="D31" s="257"/>
      <c r="E31" s="171" t="s">
        <v>259</v>
      </c>
      <c r="G31" s="259"/>
      <c r="H31" s="259"/>
      <c r="I31" s="259" t="s">
        <v>1483</v>
      </c>
      <c r="J31" s="259"/>
      <c r="K31" s="259"/>
      <c r="L31" s="259"/>
      <c r="M31" s="259"/>
    </row>
    <row r="32" spans="1:17" s="213" customFormat="1">
      <c r="A32" s="254"/>
      <c r="B32"/>
      <c r="C32"/>
      <c r="D32"/>
      <c r="E32"/>
      <c r="F32" s="1142"/>
      <c r="H32" s="2627" t="s">
        <v>1399</v>
      </c>
      <c r="I32" s="2627"/>
      <c r="J32" s="2627"/>
      <c r="K32" s="259"/>
      <c r="L32" s="257"/>
      <c r="M32" s="259"/>
    </row>
    <row r="33" spans="1:16" s="213" customFormat="1" ht="19.5" customHeight="1">
      <c r="A33" s="254"/>
      <c r="B33" s="255" t="s">
        <v>1397</v>
      </c>
      <c r="D33"/>
      <c r="E33" s="213" t="s">
        <v>721</v>
      </c>
      <c r="K33" s="259"/>
      <c r="L33" s="259"/>
      <c r="M33" s="259"/>
    </row>
    <row r="34" spans="1:16" s="213" customFormat="1">
      <c r="A34" s="254"/>
      <c r="B34" s="257" t="s">
        <v>1396</v>
      </c>
      <c r="C34" s="257"/>
      <c r="D34" s="257"/>
      <c r="E34" s="171" t="s">
        <v>259</v>
      </c>
      <c r="H34" s="259"/>
      <c r="I34" s="259"/>
      <c r="J34" s="259"/>
      <c r="K34" s="1191"/>
      <c r="L34" s="259"/>
      <c r="M34" s="259"/>
    </row>
    <row r="35" spans="1:16" s="213" customFormat="1">
      <c r="A35" s="254"/>
      <c r="B35"/>
      <c r="C35"/>
      <c r="D35"/>
      <c r="E35"/>
      <c r="F35" s="1142"/>
      <c r="H35" s="254" t="s">
        <v>386</v>
      </c>
      <c r="J35"/>
      <c r="K35"/>
    </row>
    <row r="36" spans="1:16" s="213" customFormat="1" ht="19.5" customHeight="1">
      <c r="H36" s="255" t="s">
        <v>1952</v>
      </c>
      <c r="J36"/>
      <c r="K36"/>
    </row>
    <row r="37" spans="1:16" s="213" customFormat="1" ht="19.5" customHeight="1">
      <c r="H37" s="255"/>
      <c r="I37" s="2629" t="s">
        <v>1951</v>
      </c>
      <c r="J37" s="2629"/>
      <c r="K37"/>
    </row>
    <row r="38" spans="1:16">
      <c r="C38" s="213"/>
      <c r="D38" s="255"/>
      <c r="E38" s="255"/>
      <c r="F38" s="255"/>
      <c r="G38" s="214"/>
      <c r="H38" s="214"/>
      <c r="I38" s="2625" t="s">
        <v>1945</v>
      </c>
      <c r="J38" s="2625"/>
      <c r="M38" s="147"/>
      <c r="N38" s="147"/>
      <c r="O38" s="147"/>
      <c r="P38" s="147"/>
    </row>
    <row r="39" spans="1:16">
      <c r="C39" s="212"/>
      <c r="G39" s="214"/>
      <c r="H39" s="259" t="s">
        <v>1946</v>
      </c>
      <c r="I39" s="259"/>
      <c r="J39" s="259"/>
    </row>
    <row r="40" spans="1:16">
      <c r="I40" s="2626" t="s">
        <v>1947</v>
      </c>
      <c r="J40" s="2626"/>
    </row>
  </sheetData>
  <protectedRanges>
    <protectedRange sqref="F11:F14 H11:H14" name="Range10_1"/>
  </protectedRanges>
  <mergeCells count="10">
    <mergeCell ref="I38:J38"/>
    <mergeCell ref="I40:J40"/>
    <mergeCell ref="H32:J32"/>
    <mergeCell ref="D24:E24"/>
    <mergeCell ref="I37:J37"/>
    <mergeCell ref="A1:L1"/>
    <mergeCell ref="A2:L2"/>
    <mergeCell ref="E10:F10"/>
    <mergeCell ref="B15:H15"/>
    <mergeCell ref="J15:L15"/>
  </mergeCells>
  <printOptions horizontalCentered="1"/>
  <pageMargins left="0.5" right="0.31496062992126" top="0.5" bottom="0.5" header="0.511811023622047" footer="0.511811023622047"/>
  <pageSetup paperSize="9" scale="95" orientation="portrait" blackAndWhite="1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00FF"/>
  </sheetPr>
  <dimension ref="A1:Q41"/>
  <sheetViews>
    <sheetView zoomScale="110" zoomScaleNormal="110" workbookViewId="0">
      <selection activeCell="H40" sqref="H40:J40"/>
    </sheetView>
  </sheetViews>
  <sheetFormatPr defaultColWidth="9.140625" defaultRowHeight="21.75"/>
  <cols>
    <col min="1" max="1" width="6.5703125" style="147" customWidth="1"/>
    <col min="2" max="2" width="7.85546875" style="147" customWidth="1"/>
    <col min="3" max="3" width="7.140625" style="147" customWidth="1"/>
    <col min="4" max="4" width="9.140625" style="147"/>
    <col min="5" max="5" width="8.7109375" style="147" customWidth="1"/>
    <col min="6" max="6" width="7.7109375" style="147" customWidth="1"/>
    <col min="7" max="7" width="8.42578125" style="147" customWidth="1"/>
    <col min="8" max="8" width="7.7109375" style="147" customWidth="1"/>
    <col min="9" max="9" width="14.7109375" style="216" customWidth="1"/>
    <col min="10" max="10" width="11.7109375" style="215" customWidth="1"/>
    <col min="11" max="11" width="7.5703125" style="147" customWidth="1"/>
    <col min="12" max="12" width="7.85546875" style="147" customWidth="1"/>
    <col min="13" max="13" width="9.140625" style="147"/>
    <col min="14" max="14" width="17.85546875" style="147" customWidth="1"/>
    <col min="15" max="15" width="18" style="147" bestFit="1" customWidth="1"/>
    <col min="16" max="16" width="12.85546875" style="147" customWidth="1"/>
    <col min="17" max="17" width="9.42578125" style="147" bestFit="1" customWidth="1"/>
    <col min="18" max="18" width="12" style="147" bestFit="1" customWidth="1"/>
    <col min="19" max="16384" width="9.140625" style="147"/>
  </cols>
  <sheetData>
    <row r="1" spans="1:17" s="213" customFormat="1" ht="23.25" customHeight="1">
      <c r="A1" s="2633" t="str">
        <f>"สรุปประมาณราคาค่า"&amp;'NO DELETE'!P49</f>
        <v>สรุปประมาณราคาค่าบำรุงรักษาระบบโครงข่ายทาง</v>
      </c>
      <c r="B1" s="2633"/>
      <c r="C1" s="2633"/>
      <c r="D1" s="2633"/>
      <c r="E1" s="2633"/>
      <c r="F1" s="2633"/>
      <c r="G1" s="2633"/>
      <c r="H1" s="2633"/>
      <c r="I1" s="2633"/>
      <c r="J1" s="2633"/>
      <c r="K1" s="2633"/>
      <c r="L1" s="2633"/>
      <c r="M1" s="214"/>
    </row>
    <row r="2" spans="1:17" s="213" customFormat="1" ht="23.25" customHeight="1">
      <c r="A2" s="2633" t="str">
        <f>'1.ต้นทุนถนน AC.'!$B$4</f>
        <v xml:space="preserve"> สำนักงานทางหลวงชนบทที่ 12(สงขลา) กรมทางหลวงชนบท</v>
      </c>
      <c r="B2" s="2633"/>
      <c r="C2" s="2633"/>
      <c r="D2" s="2633"/>
      <c r="E2" s="2633"/>
      <c r="F2" s="2633"/>
      <c r="G2" s="2633"/>
      <c r="H2" s="2633"/>
      <c r="I2" s="2633"/>
      <c r="J2" s="2633"/>
      <c r="K2" s="2633"/>
      <c r="L2" s="2633"/>
      <c r="M2" s="214"/>
    </row>
    <row r="3" spans="1:17">
      <c r="H3" s="879" t="str">
        <f>+'1.ต้นทุนถนน AC.'!J5</f>
        <v>วันที่ 10  พฤศจิกายน พ.ศ. 2558</v>
      </c>
    </row>
    <row r="4" spans="1:17">
      <c r="A4" s="976" t="s">
        <v>219</v>
      </c>
      <c r="C4" s="217" t="str">
        <f>+'1.ต้นทุนถนน AC.'!D6</f>
        <v xml:space="preserve">บำรุงพิเศษ ซ่อมสร้างผิวทาง Asphaltic Concrete </v>
      </c>
      <c r="J4" s="216"/>
    </row>
    <row r="5" spans="1:17" ht="27.75">
      <c r="A5" s="976" t="s">
        <v>379</v>
      </c>
      <c r="C5" s="217" t="str">
        <f>'1.ต้นทุนถนน AC.'!$D$7</f>
        <v>แขวงทางหลวงชนบทสงขลา</v>
      </c>
      <c r="I5" s="998" t="s">
        <v>375</v>
      </c>
      <c r="J5" s="1145">
        <f>+'1.ต้นทุนถนน AC.'!M7</f>
        <v>2559</v>
      </c>
      <c r="K5" s="2642"/>
      <c r="L5" s="2642"/>
      <c r="M5" s="1146" t="str">
        <f>+C6</f>
        <v>ปน.4031</v>
      </c>
      <c r="N5" s="147" t="str">
        <f>+F6</f>
        <v>แยกทางหลวงหมายเลข 4157-บ้านปาตา</v>
      </c>
    </row>
    <row r="6" spans="1:17">
      <c r="A6" s="976" t="s">
        <v>380</v>
      </c>
      <c r="C6" s="1146" t="str">
        <f>+ราคากลาง!C6</f>
        <v>ปน.4031</v>
      </c>
      <c r="E6" s="978" t="s">
        <v>362</v>
      </c>
      <c r="F6" s="147" t="str">
        <f>'1.ต้นทุนถนน AC.'!G8</f>
        <v>แยกทางหลวงหมายเลข 4157-บ้านปาตา</v>
      </c>
      <c r="I6" s="147"/>
      <c r="J6" s="216"/>
      <c r="K6" s="215"/>
      <c r="N6" s="147" t="str">
        <f>+C7</f>
        <v>อำเภอ  ปะนาเระ,ยะหริ่ง จังหวัด ปัตตานี</v>
      </c>
    </row>
    <row r="7" spans="1:17" ht="21.75" customHeight="1">
      <c r="A7" s="976" t="s">
        <v>381</v>
      </c>
      <c r="C7" s="1148" t="str">
        <f>'1.ต้นทุนถนน AC.'!$C$9</f>
        <v>อำเภอ  ปะนาเระ,ยะหริ่ง จังหวัด ปัตตานี</v>
      </c>
      <c r="E7" s="217"/>
      <c r="H7" s="985" t="s">
        <v>383</v>
      </c>
      <c r="I7" s="147"/>
      <c r="J7" s="1150">
        <f>+'1.ต้นทุนถนน AC.'!I9</f>
        <v>12.965999999999999</v>
      </c>
      <c r="K7" s="986" t="s">
        <v>257</v>
      </c>
      <c r="N7" s="1462" t="s">
        <v>733</v>
      </c>
      <c r="O7" s="1462" t="s">
        <v>734</v>
      </c>
    </row>
    <row r="8" spans="1:17">
      <c r="A8" s="976" t="s">
        <v>382</v>
      </c>
      <c r="D8" s="217" t="s">
        <v>150</v>
      </c>
      <c r="F8" s="1465" t="s">
        <v>2079</v>
      </c>
      <c r="G8" s="984" t="s">
        <v>376</v>
      </c>
      <c r="I8" s="1464">
        <v>6</v>
      </c>
      <c r="J8" s="997" t="s">
        <v>47</v>
      </c>
      <c r="K8" s="215"/>
      <c r="M8" s="1009" t="s">
        <v>1305</v>
      </c>
      <c r="N8" s="2016"/>
      <c r="O8" s="2016"/>
    </row>
    <row r="9" spans="1:17">
      <c r="A9" s="983" t="s">
        <v>151</v>
      </c>
      <c r="D9" s="217" t="s">
        <v>152</v>
      </c>
      <c r="F9" s="1465" t="s">
        <v>2079</v>
      </c>
      <c r="G9" s="984" t="s">
        <v>376</v>
      </c>
      <c r="I9" s="1464" t="s">
        <v>2080</v>
      </c>
      <c r="J9" s="997" t="s">
        <v>47</v>
      </c>
      <c r="K9" s="215"/>
      <c r="M9" s="1009" t="s">
        <v>1306</v>
      </c>
      <c r="N9" s="2016"/>
      <c r="O9" s="2016"/>
    </row>
    <row r="10" spans="1:17">
      <c r="A10" s="975" t="str">
        <f>++"ระยะทางดำเนินการ"</f>
        <v>ระยะทางดำเนินการ</v>
      </c>
      <c r="B10" s="148"/>
      <c r="C10" s="148"/>
      <c r="D10" s="218"/>
      <c r="E10" s="2634">
        <f>SUM(I11:I16)</f>
        <v>1.5229999999999999</v>
      </c>
      <c r="F10" s="2634"/>
      <c r="G10" s="994" t="s">
        <v>40</v>
      </c>
      <c r="H10" s="983"/>
      <c r="I10" s="995" t="s">
        <v>153</v>
      </c>
      <c r="J10" s="1464" t="s">
        <v>2081</v>
      </c>
      <c r="K10" s="996" t="s">
        <v>47</v>
      </c>
      <c r="M10" s="1009" t="s">
        <v>1307</v>
      </c>
      <c r="N10" s="2016"/>
      <c r="O10" s="2016"/>
    </row>
    <row r="11" spans="1:17">
      <c r="A11" s="219"/>
      <c r="C11" s="987" t="s">
        <v>1206</v>
      </c>
      <c r="D11" s="988" t="s">
        <v>377</v>
      </c>
      <c r="E11" s="1466">
        <f>+BackupAC!A18</f>
        <v>3437</v>
      </c>
      <c r="F11" s="991" t="s">
        <v>378</v>
      </c>
      <c r="G11" s="1466">
        <f>+BackupAC!B18</f>
        <v>4960</v>
      </c>
      <c r="H11" s="991" t="s">
        <v>21</v>
      </c>
      <c r="I11" s="1467">
        <f>+(G11-E11)/1000</f>
        <v>1.5229999999999999</v>
      </c>
      <c r="J11" s="993" t="s">
        <v>257</v>
      </c>
      <c r="M11" s="1009" t="s">
        <v>1308</v>
      </c>
      <c r="N11" s="2016"/>
      <c r="O11" s="2016"/>
    </row>
    <row r="12" spans="1:17" hidden="1">
      <c r="C12" s="989"/>
      <c r="D12" s="988" t="s">
        <v>377</v>
      </c>
      <c r="E12" s="1466"/>
      <c r="F12" s="991" t="s">
        <v>378</v>
      </c>
      <c r="G12" s="1466"/>
      <c r="H12" s="991" t="s">
        <v>21</v>
      </c>
      <c r="I12" s="1467"/>
      <c r="J12" s="993" t="s">
        <v>257</v>
      </c>
      <c r="K12" s="2026"/>
      <c r="M12" s="1009" t="s">
        <v>1309</v>
      </c>
      <c r="N12" s="2016"/>
      <c r="O12" s="2016"/>
    </row>
    <row r="13" spans="1:17">
      <c r="A13" s="219"/>
      <c r="C13" s="987"/>
      <c r="D13" s="988" t="s">
        <v>377</v>
      </c>
      <c r="E13" s="1466"/>
      <c r="F13" s="991" t="s">
        <v>378</v>
      </c>
      <c r="G13" s="1466"/>
      <c r="H13" s="991" t="s">
        <v>21</v>
      </c>
      <c r="I13" s="1467"/>
      <c r="J13" s="993" t="s">
        <v>257</v>
      </c>
      <c r="M13" s="1009" t="s">
        <v>1310</v>
      </c>
      <c r="N13" s="2133"/>
      <c r="O13" s="2133"/>
      <c r="P13" s="171"/>
      <c r="Q13" s="171"/>
    </row>
    <row r="14" spans="1:17" hidden="1">
      <c r="A14" s="220"/>
      <c r="C14" s="987" t="s">
        <v>1207</v>
      </c>
      <c r="D14" s="988" t="s">
        <v>377</v>
      </c>
      <c r="E14" s="1466"/>
      <c r="F14" s="991" t="s">
        <v>378</v>
      </c>
      <c r="G14" s="1466"/>
      <c r="H14" s="991" t="s">
        <v>21</v>
      </c>
      <c r="I14" s="1467"/>
      <c r="J14" s="993" t="s">
        <v>257</v>
      </c>
      <c r="O14" s="171"/>
      <c r="P14" s="171"/>
      <c r="Q14" s="171"/>
    </row>
    <row r="15" spans="1:17" hidden="1">
      <c r="A15" s="220"/>
      <c r="D15" s="988" t="s">
        <v>377</v>
      </c>
      <c r="E15" s="2030"/>
      <c r="F15" s="991" t="s">
        <v>378</v>
      </c>
      <c r="G15" s="2030"/>
      <c r="H15" s="991" t="s">
        <v>21</v>
      </c>
      <c r="I15" s="2031"/>
      <c r="J15" s="993" t="s">
        <v>257</v>
      </c>
      <c r="O15" s="171"/>
      <c r="P15" s="171"/>
      <c r="Q15" s="171"/>
    </row>
    <row r="16" spans="1:17" hidden="1">
      <c r="A16" s="220"/>
      <c r="C16" s="983"/>
      <c r="D16" s="990" t="s">
        <v>377</v>
      </c>
      <c r="E16" s="2030"/>
      <c r="F16" s="991" t="s">
        <v>378</v>
      </c>
      <c r="G16" s="2030"/>
      <c r="H16" s="992" t="s">
        <v>21</v>
      </c>
      <c r="I16" s="2031"/>
      <c r="J16" s="993" t="s">
        <v>257</v>
      </c>
      <c r="O16" s="171"/>
      <c r="P16" s="171"/>
      <c r="Q16" s="171"/>
    </row>
    <row r="17" spans="1:17" ht="21.75" customHeight="1">
      <c r="A17" s="2172" t="s">
        <v>0</v>
      </c>
      <c r="B17" s="2638" t="s">
        <v>1</v>
      </c>
      <c r="C17" s="2639"/>
      <c r="D17" s="2639"/>
      <c r="E17" s="2639"/>
      <c r="F17" s="2639"/>
      <c r="G17" s="2639"/>
      <c r="H17" s="2640"/>
      <c r="I17" s="2173" t="s">
        <v>154</v>
      </c>
      <c r="J17" s="2635" t="s">
        <v>155</v>
      </c>
      <c r="K17" s="2636"/>
      <c r="L17" s="2637"/>
      <c r="N17" s="2630" t="s">
        <v>640</v>
      </c>
      <c r="O17" s="2630"/>
      <c r="P17" s="171"/>
      <c r="Q17" s="171"/>
    </row>
    <row r="18" spans="1:17" ht="24">
      <c r="A18" s="221">
        <v>1</v>
      </c>
      <c r="B18" s="223" t="s">
        <v>156</v>
      </c>
      <c r="C18" s="223"/>
      <c r="D18" s="223"/>
      <c r="E18" s="223"/>
      <c r="F18" s="224"/>
      <c r="G18" s="224"/>
      <c r="H18" s="225"/>
      <c r="I18" s="226">
        <f>+ปร.4_Roads!M170-ปร.5_Roads!I21</f>
        <v>7547959.2525959006</v>
      </c>
      <c r="J18" s="227" t="s">
        <v>2</v>
      </c>
      <c r="K18" s="223"/>
      <c r="L18" s="228"/>
      <c r="N18" s="1460" t="s">
        <v>638</v>
      </c>
      <c r="O18" s="1463">
        <v>8160000</v>
      </c>
      <c r="P18" s="171"/>
      <c r="Q18" s="171"/>
    </row>
    <row r="19" spans="1:17" ht="24">
      <c r="A19" s="237">
        <v>2</v>
      </c>
      <c r="B19" s="148" t="s">
        <v>1960</v>
      </c>
      <c r="C19" s="148"/>
      <c r="D19" s="148"/>
      <c r="E19" s="148"/>
      <c r="F19" s="231"/>
      <c r="G19" s="231"/>
      <c r="H19" s="232"/>
      <c r="I19" s="239">
        <f>+ปร.4_Roads!M150+ปร.4_Roads!M151</f>
        <v>0</v>
      </c>
      <c r="J19" s="234" t="s">
        <v>158</v>
      </c>
      <c r="K19" s="148"/>
      <c r="L19" s="235">
        <f>แหล่งวัสดุ!$L$25/100</f>
        <v>7.0000000000000007E-2</v>
      </c>
      <c r="N19" s="1461" t="s">
        <v>213</v>
      </c>
      <c r="O19" s="236">
        <f>+I24</f>
        <v>7920000</v>
      </c>
      <c r="P19" s="171"/>
      <c r="Q19" s="171"/>
    </row>
    <row r="20" spans="1:17" ht="24">
      <c r="A20" s="229">
        <v>3</v>
      </c>
      <c r="B20" s="147" t="s">
        <v>1976</v>
      </c>
      <c r="C20" s="148"/>
      <c r="D20" s="148"/>
      <c r="E20" s="148"/>
      <c r="F20" s="148"/>
      <c r="G20" s="148"/>
      <c r="H20" s="238" t="s">
        <v>149</v>
      </c>
      <c r="I20" s="2132">
        <v>0</v>
      </c>
      <c r="J20" s="234" t="s">
        <v>157</v>
      </c>
      <c r="K20" s="148"/>
      <c r="L20" s="235">
        <f>แหล่งวัสดุ!$L$26/100</f>
        <v>0.15</v>
      </c>
      <c r="N20" s="1458" t="s">
        <v>639</v>
      </c>
      <c r="O20" s="1459">
        <f>+IF(O18=O19,"OK",O18-O19)</f>
        <v>240000</v>
      </c>
      <c r="P20" s="171"/>
      <c r="Q20" s="171"/>
    </row>
    <row r="21" spans="1:17">
      <c r="A21" s="229">
        <v>4</v>
      </c>
      <c r="B21" s="148" t="s">
        <v>2082</v>
      </c>
      <c r="C21" s="148"/>
      <c r="D21" s="148"/>
      <c r="E21" s="148"/>
      <c r="F21" s="148"/>
      <c r="G21" s="148"/>
      <c r="H21" s="238"/>
      <c r="I21" s="239">
        <f>+IF('NO DELETE'!P7&gt;2,'NO DELETE'!X18,)</f>
        <v>377393.44740410056</v>
      </c>
      <c r="J21" s="234" t="s">
        <v>159</v>
      </c>
      <c r="K21" s="148"/>
      <c r="L21" s="235">
        <f>แหล่งวัสดุ!$L$28/100</f>
        <v>0</v>
      </c>
      <c r="N21" s="171"/>
      <c r="O21" s="171"/>
      <c r="P21" s="171"/>
      <c r="Q21" s="171"/>
    </row>
    <row r="22" spans="1:17" ht="24">
      <c r="A22" s="240"/>
      <c r="B22" s="242"/>
      <c r="C22" s="242"/>
      <c r="D22" s="242"/>
      <c r="E22" s="242"/>
      <c r="F22" s="242"/>
      <c r="G22" s="242"/>
      <c r="H22" s="243"/>
      <c r="I22" s="244"/>
      <c r="J22" s="245" t="str">
        <f>"- พื้นที่ ฝนตกชุก "</f>
        <v xml:space="preserve">- พื้นที่ ฝนตกชุก </v>
      </c>
      <c r="K22" s="246">
        <f>+แหล่งวัสดุ!H4</f>
        <v>1</v>
      </c>
      <c r="L22" s="243"/>
      <c r="N22" s="171"/>
      <c r="O22" s="171"/>
      <c r="P22" s="171"/>
      <c r="Q22" s="171"/>
    </row>
    <row r="23" spans="1:17">
      <c r="A23" s="201" t="s">
        <v>160</v>
      </c>
      <c r="B23" s="204" t="s">
        <v>161</v>
      </c>
      <c r="I23" s="247">
        <f>SUM(I18:I22)</f>
        <v>7925352.7000000011</v>
      </c>
      <c r="J23" s="234"/>
      <c r="K23" s="148"/>
      <c r="L23" s="238"/>
      <c r="N23" s="2395"/>
      <c r="P23" s="171"/>
      <c r="Q23" s="171"/>
    </row>
    <row r="24" spans="1:17" ht="22.5" thickBot="1">
      <c r="A24" s="204"/>
      <c r="B24" s="204" t="s">
        <v>162</v>
      </c>
      <c r="I24" s="248">
        <f>IF(I23&lt;10000000,ROUNDDOWN(I23,-4),ROUNDDOWN(I23,-4))</f>
        <v>7920000</v>
      </c>
      <c r="J24" s="234"/>
      <c r="K24" s="148"/>
      <c r="L24" s="238"/>
      <c r="N24" s="249"/>
      <c r="P24" s="171"/>
      <c r="Q24" s="171"/>
    </row>
    <row r="25" spans="1:17" ht="22.5" thickTop="1">
      <c r="A25" s="241"/>
      <c r="B25" s="241" t="str">
        <f xml:space="preserve"> "(เงิน"&amp;BAHTTEXT($I$24)&amp;")"</f>
        <v>(เงินเจ็ดล้านเก้าแสนสองหมื่นบาทถ้วน)</v>
      </c>
      <c r="C25" s="250"/>
      <c r="D25" s="242"/>
      <c r="E25" s="242"/>
      <c r="F25" s="242"/>
      <c r="G25" s="242"/>
      <c r="H25" s="242"/>
      <c r="I25" s="251"/>
      <c r="J25" s="252"/>
      <c r="K25" s="242"/>
      <c r="L25" s="243"/>
    </row>
    <row r="26" spans="1:17">
      <c r="B26" s="147" t="s">
        <v>163</v>
      </c>
      <c r="D26" s="2628">
        <f>+E10</f>
        <v>1.5229999999999999</v>
      </c>
      <c r="E26" s="2628"/>
      <c r="F26" s="147" t="s">
        <v>40</v>
      </c>
    </row>
    <row r="27" spans="1:17" ht="24">
      <c r="B27" s="147" t="s">
        <v>164</v>
      </c>
      <c r="D27" s="2643">
        <f>I24/D26</f>
        <v>5200262.6395272491</v>
      </c>
      <c r="E27" s="2643"/>
      <c r="F27" s="147" t="s">
        <v>43</v>
      </c>
      <c r="I27" s="1138"/>
      <c r="J27" s="1138"/>
      <c r="K27" s="1138"/>
    </row>
    <row r="28" spans="1:17">
      <c r="D28" s="253"/>
      <c r="E28" s="253"/>
    </row>
    <row r="29" spans="1:17">
      <c r="D29" s="253"/>
      <c r="E29" s="253"/>
    </row>
    <row r="30" spans="1:17" s="213" customFormat="1" ht="19.5" customHeight="1">
      <c r="A30" s="254"/>
      <c r="F30" s="2632" t="s">
        <v>213</v>
      </c>
      <c r="G30" s="2632"/>
      <c r="H30" s="2641" t="s">
        <v>384</v>
      </c>
      <c r="I30" s="2641"/>
      <c r="J30" s="2641"/>
      <c r="K30" s="254"/>
      <c r="L30" s="256"/>
    </row>
    <row r="31" spans="1:17" s="213" customFormat="1">
      <c r="A31" s="254"/>
      <c r="B31" s="254"/>
      <c r="H31" s="2631" t="str">
        <f>CONCATENATE("( ",แหล่งวัสดุ!K37," ) ",)</f>
        <v xml:space="preserve">( นายวัลลภ  มูสิกะเจริญ ) </v>
      </c>
      <c r="I31" s="2631"/>
      <c r="J31" s="2631"/>
      <c r="K31" s="257"/>
    </row>
    <row r="32" spans="1:17" s="213" customFormat="1" ht="21.95" customHeight="1">
      <c r="A32" s="254"/>
      <c r="B32" s="254"/>
      <c r="H32" s="2631" t="str">
        <f>+แหล่งวัสดุ!N37</f>
        <v>นายช่างโยธาชำนาญงาน</v>
      </c>
      <c r="I32" s="2631"/>
      <c r="J32" s="2631"/>
    </row>
    <row r="33" spans="1:12" s="213" customFormat="1">
      <c r="A33" s="254"/>
      <c r="B33" s="254"/>
      <c r="D33" s="257"/>
      <c r="E33" s="258"/>
      <c r="F33" s="258"/>
      <c r="H33" s="257"/>
      <c r="I33" s="257"/>
      <c r="J33" s="257"/>
    </row>
    <row r="34" spans="1:12" s="213" customFormat="1">
      <c r="A34" s="254"/>
      <c r="G34" s="1139" t="s">
        <v>385</v>
      </c>
      <c r="H34" s="2641" t="s">
        <v>384</v>
      </c>
      <c r="I34" s="2641"/>
      <c r="J34" s="2641"/>
      <c r="K34" s="254"/>
    </row>
    <row r="35" spans="1:12" s="213" customFormat="1">
      <c r="A35" s="254"/>
      <c r="B35" s="254"/>
      <c r="H35" s="2627" t="str">
        <f>CONCATENATE("(  ",แหล่งวัสดุ!K38,"  ) ")</f>
        <v xml:space="preserve">(  นางสาวปิญาภา  ศรีมณี  ) </v>
      </c>
      <c r="I35" s="2627"/>
      <c r="J35" s="2627"/>
      <c r="K35" s="257"/>
      <c r="L35" s="257"/>
    </row>
    <row r="36" spans="1:12" s="213" customFormat="1" ht="19.5" customHeight="1">
      <c r="A36" s="254"/>
      <c r="B36" s="254"/>
      <c r="H36" s="2627" t="str">
        <f>+แหล่งวัสดุ!N38</f>
        <v>วิศวกรโยธาชำนาญการ</v>
      </c>
      <c r="I36" s="2627"/>
      <c r="J36" s="2627"/>
      <c r="K36" s="260"/>
    </row>
    <row r="37" spans="1:12" s="213" customFormat="1">
      <c r="A37" s="254"/>
      <c r="B37" s="254"/>
      <c r="D37" s="259"/>
      <c r="H37" s="259"/>
      <c r="I37" s="259"/>
      <c r="J37" s="259"/>
      <c r="K37" s="260"/>
    </row>
    <row r="38" spans="1:12" s="213" customFormat="1">
      <c r="A38" s="254"/>
      <c r="G38" s="1139" t="s">
        <v>386</v>
      </c>
      <c r="H38" s="2641" t="s">
        <v>384</v>
      </c>
      <c r="I38" s="2641"/>
      <c r="J38" s="2641"/>
      <c r="K38" s="254"/>
    </row>
    <row r="39" spans="1:12" s="213" customFormat="1">
      <c r="H39" s="2627" t="str">
        <f>CONCATENATE("(  ",แหล่งวัสดุ!K39,"  ) ")</f>
        <v xml:space="preserve">(  นายวโรภาส   แสงพายัพ  ) </v>
      </c>
      <c r="I39" s="2627"/>
      <c r="J39" s="2627"/>
      <c r="K39" s="257"/>
      <c r="L39" s="257"/>
    </row>
    <row r="40" spans="1:12" s="213" customFormat="1" ht="19.5" customHeight="1">
      <c r="H40" s="2627" t="s">
        <v>1399</v>
      </c>
      <c r="I40" s="2627"/>
      <c r="J40" s="2627"/>
      <c r="K40" s="260"/>
    </row>
    <row r="41" spans="1:12">
      <c r="C41" s="212"/>
      <c r="G41" s="214"/>
    </row>
  </sheetData>
  <protectedRanges>
    <protectedRange sqref="H11:H16 F11:F16" name="Range10_1"/>
  </protectedRanges>
  <mergeCells count="19">
    <mergeCell ref="H40:J40"/>
    <mergeCell ref="H39:J39"/>
    <mergeCell ref="D26:E26"/>
    <mergeCell ref="D27:E27"/>
    <mergeCell ref="H36:J36"/>
    <mergeCell ref="H38:J38"/>
    <mergeCell ref="H35:J35"/>
    <mergeCell ref="H34:J34"/>
    <mergeCell ref="N17:O17"/>
    <mergeCell ref="H32:J32"/>
    <mergeCell ref="F30:G30"/>
    <mergeCell ref="A1:L1"/>
    <mergeCell ref="A2:L2"/>
    <mergeCell ref="E10:F10"/>
    <mergeCell ref="J17:L17"/>
    <mergeCell ref="B17:H17"/>
    <mergeCell ref="H30:J30"/>
    <mergeCell ref="H31:J31"/>
    <mergeCell ref="K5:L5"/>
  </mergeCells>
  <phoneticPr fontId="0" type="noConversion"/>
  <conditionalFormatting sqref="O20">
    <cfRule type="cellIs" dxfId="1" priority="2" stopIfTrue="1" operator="equal">
      <formula>$O$18</formula>
    </cfRule>
  </conditionalFormatting>
  <conditionalFormatting sqref="I24">
    <cfRule type="cellIs" dxfId="0" priority="1" stopIfTrue="1" operator="notEqual">
      <formula>$O$18</formula>
    </cfRule>
  </conditionalFormatting>
  <printOptions horizontalCentered="1"/>
  <pageMargins left="0.55118110236220474" right="0.31496062992125984" top="0.74803149606299213" bottom="0.59055118110236227" header="0.51181102362204722" footer="0.51181102362204722"/>
  <pageSetup paperSize="9" scale="95" orientation="portrait" blackAndWhite="1" horizontalDpi="300" verticalDpi="300" r:id="rId1"/>
  <headerFooter alignWithMargins="0">
    <oddFooter>&amp;R&amp;10&amp;Z&amp;F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0000FF"/>
  </sheetPr>
  <dimension ref="A1:X173"/>
  <sheetViews>
    <sheetView topLeftCell="A34" zoomScale="90" zoomScaleNormal="90" workbookViewId="0">
      <selection activeCell="E132" sqref="E132"/>
    </sheetView>
  </sheetViews>
  <sheetFormatPr defaultColWidth="9.140625" defaultRowHeight="21.75"/>
  <cols>
    <col min="1" max="1" width="2.85546875" style="147" customWidth="1"/>
    <col min="2" max="2" width="4.7109375" style="148" customWidth="1"/>
    <col min="3" max="3" width="5.7109375" style="148" customWidth="1"/>
    <col min="4" max="4" width="35.42578125" style="147" customWidth="1"/>
    <col min="5" max="5" width="9.28515625" style="147" customWidth="1"/>
    <col min="6" max="6" width="6.85546875" style="147" customWidth="1"/>
    <col min="7" max="8" width="9.5703125" style="147" customWidth="1"/>
    <col min="9" max="9" width="11.28515625" style="147" bestFit="1" customWidth="1"/>
    <col min="10" max="10" width="13.85546875" style="147" bestFit="1" customWidth="1"/>
    <col min="11" max="11" width="7.85546875" style="147" bestFit="1" customWidth="1"/>
    <col min="12" max="12" width="11.42578125" style="147" customWidth="1"/>
    <col min="13" max="13" width="13.85546875" style="147" bestFit="1" customWidth="1"/>
    <col min="14" max="14" width="6.7109375" style="147" customWidth="1"/>
    <col min="15" max="15" width="5.7109375" style="147" customWidth="1"/>
    <col min="16" max="16" width="4.5703125" style="147" bestFit="1" customWidth="1"/>
    <col min="17" max="17" width="15.85546875" style="2136" customWidth="1"/>
    <col min="18" max="18" width="7.28515625" style="147" customWidth="1"/>
    <col min="19" max="19" width="12.42578125" style="147" bestFit="1" customWidth="1"/>
    <col min="20" max="20" width="13.28515625" style="147" customWidth="1"/>
    <col min="21" max="21" width="13" style="147" bestFit="1" customWidth="1"/>
    <col min="22" max="22" width="11.5703125" style="147" bestFit="1" customWidth="1"/>
    <col min="23" max="16384" width="9.140625" style="147"/>
  </cols>
  <sheetData>
    <row r="1" spans="1:24" ht="21.75" customHeight="1">
      <c r="A1" s="2668" t="str">
        <f>"รายละเอียดการประมาณราคา "&amp;'1.ต้นทุนถนน AC.'!D6</f>
        <v xml:space="preserve">รายละเอียดการประมาณราคา บำรุงพิเศษ ซ่อมสร้างผิวทาง Asphaltic Concrete </v>
      </c>
      <c r="B1" s="2668"/>
      <c r="C1" s="2668"/>
      <c r="D1" s="2668"/>
      <c r="E1" s="2668"/>
      <c r="F1" s="2668"/>
      <c r="G1" s="2668"/>
      <c r="H1" s="2668"/>
      <c r="I1" s="2668"/>
      <c r="J1" s="2668"/>
      <c r="K1" s="2668"/>
      <c r="L1" s="2668"/>
      <c r="M1" s="2668"/>
      <c r="N1" s="2668"/>
      <c r="O1" s="2668"/>
    </row>
    <row r="2" spans="1:24" ht="18.75" customHeight="1">
      <c r="A2" s="975" t="s">
        <v>361</v>
      </c>
      <c r="B2" s="147"/>
      <c r="D2" s="979" t="str">
        <f>+ปร.5_Roads!C6</f>
        <v>ปน.4031</v>
      </c>
      <c r="E2" s="976" t="s">
        <v>362</v>
      </c>
      <c r="F2" s="980" t="str">
        <f>+'1.ต้นทุนถนน AC.'!G8</f>
        <v>แยกทางหลวงหมายเลข 4157-บ้านปาตา</v>
      </c>
      <c r="M2" s="2652" t="s">
        <v>375</v>
      </c>
      <c r="N2" s="2654">
        <f>+'1.ต้นทุนถนน AC.'!M7</f>
        <v>2559</v>
      </c>
      <c r="O2" s="2654"/>
    </row>
    <row r="3" spans="1:24" ht="21.75" customHeight="1">
      <c r="A3" s="975" t="s">
        <v>363</v>
      </c>
      <c r="B3" s="147"/>
      <c r="D3" s="979" t="str">
        <f>+ปร.5_Roads!C7</f>
        <v>อำเภอ  ปะนาเระ,ยะหริ่ง จังหวัด ปัตตานี</v>
      </c>
      <c r="G3" s="149"/>
      <c r="H3" s="977" t="str">
        <f>+ราคากลาง!A10</f>
        <v>ปริมาณดำเนินการ</v>
      </c>
      <c r="I3" s="1002"/>
      <c r="J3" s="1001">
        <v>1</v>
      </c>
      <c r="K3" s="978" t="s">
        <v>119</v>
      </c>
      <c r="L3" s="946"/>
      <c r="M3" s="2653"/>
      <c r="N3" s="2655"/>
      <c r="O3" s="2655"/>
    </row>
    <row r="4" spans="1:24" s="150" customFormat="1" ht="20.100000000000001" customHeight="1">
      <c r="A4" s="2645" t="s">
        <v>0</v>
      </c>
      <c r="B4" s="2647" t="s">
        <v>41</v>
      </c>
      <c r="C4" s="2656"/>
      <c r="D4" s="2648"/>
      <c r="E4" s="2645" t="s">
        <v>22</v>
      </c>
      <c r="F4" s="2645" t="s">
        <v>23</v>
      </c>
      <c r="G4" s="2638" t="s">
        <v>24</v>
      </c>
      <c r="H4" s="2639"/>
      <c r="I4" s="2640"/>
      <c r="J4" s="2174" t="s">
        <v>25</v>
      </c>
      <c r="K4" s="2645" t="s">
        <v>2</v>
      </c>
      <c r="L4" s="2638" t="s">
        <v>398</v>
      </c>
      <c r="M4" s="2640"/>
      <c r="N4" s="2647" t="s">
        <v>19</v>
      </c>
      <c r="O4" s="2648"/>
      <c r="Q4" s="2137"/>
      <c r="R4"/>
      <c r="S4"/>
      <c r="T4"/>
      <c r="U4"/>
    </row>
    <row r="5" spans="1:24" s="150" customFormat="1" ht="20.100000000000001" customHeight="1">
      <c r="A5" s="2646"/>
      <c r="B5" s="2649"/>
      <c r="C5" s="2657"/>
      <c r="D5" s="2650"/>
      <c r="E5" s="2646"/>
      <c r="F5" s="2646"/>
      <c r="G5" s="2172" t="s">
        <v>26</v>
      </c>
      <c r="H5" s="2172" t="s">
        <v>27</v>
      </c>
      <c r="I5" s="2172" t="s">
        <v>28</v>
      </c>
      <c r="J5" s="2175" t="s">
        <v>29</v>
      </c>
      <c r="K5" s="2646"/>
      <c r="L5" s="2176" t="s">
        <v>234</v>
      </c>
      <c r="M5" s="2176" t="s">
        <v>28</v>
      </c>
      <c r="N5" s="2649"/>
      <c r="O5" s="2650"/>
      <c r="Q5" s="2137"/>
      <c r="R5"/>
      <c r="S5"/>
      <c r="T5"/>
      <c r="U5"/>
    </row>
    <row r="6" spans="1:24" s="150" customFormat="1" ht="20.100000000000001" customHeight="1">
      <c r="A6" s="151">
        <v>1</v>
      </c>
      <c r="B6" s="152" t="s">
        <v>30</v>
      </c>
      <c r="C6" s="189"/>
      <c r="D6" s="189"/>
      <c r="E6" s="154"/>
      <c r="F6" s="155"/>
      <c r="G6" s="155"/>
      <c r="H6" s="155"/>
      <c r="I6" s="155"/>
      <c r="J6" s="155"/>
      <c r="K6" s="158"/>
      <c r="L6" s="1271"/>
      <c r="M6" s="158"/>
      <c r="N6" s="158"/>
      <c r="O6" s="159"/>
      <c r="Q6" s="2137"/>
      <c r="R6"/>
      <c r="S6"/>
      <c r="T6"/>
      <c r="U6"/>
    </row>
    <row r="7" spans="1:24" s="150" customFormat="1" ht="20.100000000000001" customHeight="1">
      <c r="A7" s="160"/>
      <c r="B7" s="153">
        <v>1.1000000000000001</v>
      </c>
      <c r="C7" s="1081" t="s">
        <v>525</v>
      </c>
      <c r="D7" s="1081"/>
      <c r="E7" s="1633"/>
      <c r="F7" s="1082" t="s">
        <v>31</v>
      </c>
      <c r="G7" s="1083">
        <f>IF(E7&lt;=0,0,)</f>
        <v>0</v>
      </c>
      <c r="H7" s="2330">
        <f>IF(E7&gt;0,'S2'!$BF$30,)</f>
        <v>0</v>
      </c>
      <c r="I7" s="2331">
        <f t="shared" ref="I7:I18" si="0">ROUND(G7+H7,2)</f>
        <v>0</v>
      </c>
      <c r="J7" s="1084">
        <f t="shared" ref="J7:J18" si="1">E7*I7</f>
        <v>0</v>
      </c>
      <c r="K7" s="1085">
        <f>IF(E7&gt;0,'NO DELETE'!$Q$18,)</f>
        <v>0</v>
      </c>
      <c r="L7" s="1086">
        <f>ROUND(K7*I7,1)</f>
        <v>0</v>
      </c>
      <c r="M7" s="1086">
        <f>L7*E7</f>
        <v>0</v>
      </c>
      <c r="N7" s="1087"/>
      <c r="O7" s="1088"/>
      <c r="Q7" s="2137"/>
      <c r="R7"/>
      <c r="S7"/>
      <c r="T7"/>
      <c r="U7"/>
    </row>
    <row r="8" spans="1:24" s="166" customFormat="1" ht="20.100000000000001" customHeight="1">
      <c r="A8" s="165"/>
      <c r="B8" s="153">
        <v>1.2</v>
      </c>
      <c r="C8" s="1089" t="str">
        <f>+VLOOKUP('NO DELETE'!$AW$1,'NO DELETE'!$AQ$1:$AU$3,2)</f>
        <v>งานขุดรื้อพื้นทางหินคลุกเดิมแล้วบดทับ</v>
      </c>
      <c r="D8" s="1089"/>
      <c r="E8" s="1633">
        <f>+BackupAC!G23+BackupAC!H23</f>
        <v>12184</v>
      </c>
      <c r="F8" s="1090" t="s">
        <v>31</v>
      </c>
      <c r="G8" s="1091">
        <f>IF(E8&lt;=0,0,)</f>
        <v>0</v>
      </c>
      <c r="H8" s="2330">
        <f>IF(E8&gt;0,'NO DELETE'!$AW$2,)</f>
        <v>14.13</v>
      </c>
      <c r="I8" s="2329">
        <f t="shared" si="0"/>
        <v>14.13</v>
      </c>
      <c r="J8" s="1092">
        <f>E8*I8</f>
        <v>172159.92</v>
      </c>
      <c r="K8" s="1085">
        <f>IF(E8&gt;0,'NO DELETE'!$Q$18,)</f>
        <v>1.4152</v>
      </c>
      <c r="L8" s="1094">
        <f t="shared" ref="L8:L69" si="2">ROUND(K8*I8,1)</f>
        <v>20</v>
      </c>
      <c r="M8" s="1094">
        <f>L8*E8</f>
        <v>243680</v>
      </c>
      <c r="N8" s="1095"/>
      <c r="O8" s="1096"/>
      <c r="Q8" s="2137"/>
      <c r="R8"/>
      <c r="S8"/>
      <c r="T8"/>
      <c r="U8"/>
    </row>
    <row r="9" spans="1:24" s="150" customFormat="1" ht="20.100000000000001" customHeight="1">
      <c r="A9" s="160"/>
      <c r="B9" s="153">
        <v>1.3</v>
      </c>
      <c r="C9" s="1089" t="s">
        <v>526</v>
      </c>
      <c r="D9" s="1089"/>
      <c r="E9" s="1591"/>
      <c r="F9" s="1090" t="s">
        <v>31</v>
      </c>
      <c r="G9" s="1091">
        <f>IF(E9&lt;=0,0,)</f>
        <v>0</v>
      </c>
      <c r="H9" s="1121">
        <f>IF(E9&gt;0,+'S2'!$BF$12,)</f>
        <v>0</v>
      </c>
      <c r="I9" s="2329">
        <f t="shared" si="0"/>
        <v>0</v>
      </c>
      <c r="J9" s="1092">
        <f t="shared" si="1"/>
        <v>0</v>
      </c>
      <c r="K9" s="1085">
        <f>IF(E9&gt;0,'NO DELETE'!$Q$18,)</f>
        <v>0</v>
      </c>
      <c r="L9" s="1094">
        <f t="shared" si="2"/>
        <v>0</v>
      </c>
      <c r="M9" s="1094">
        <f t="shared" ref="M9:M38" si="3">L9*E9</f>
        <v>0</v>
      </c>
      <c r="N9" s="1097"/>
      <c r="O9" s="1098"/>
      <c r="Q9" s="2137"/>
      <c r="R9"/>
      <c r="S9"/>
      <c r="T9"/>
      <c r="U9"/>
    </row>
    <row r="10" spans="1:24" s="150" customFormat="1" ht="20.100000000000001" customHeight="1">
      <c r="A10" s="167"/>
      <c r="B10" s="153">
        <v>1.4</v>
      </c>
      <c r="C10" s="1089" t="s">
        <v>295</v>
      </c>
      <c r="D10" s="1089"/>
      <c r="E10" s="1591"/>
      <c r="F10" s="1090" t="s">
        <v>32</v>
      </c>
      <c r="G10" s="1091">
        <f>IF(E10&lt;=0,0,)</f>
        <v>0</v>
      </c>
      <c r="H10" s="1121">
        <f>IF(E10&gt;0,+'S2'!$BF$31+'S2'!$BF$36,)</f>
        <v>0</v>
      </c>
      <c r="I10" s="2329">
        <f t="shared" si="0"/>
        <v>0</v>
      </c>
      <c r="J10" s="1092">
        <f t="shared" si="1"/>
        <v>0</v>
      </c>
      <c r="K10" s="1085">
        <f>IF(E10&gt;0,'NO DELETE'!$Q$18,)</f>
        <v>0</v>
      </c>
      <c r="L10" s="1094">
        <f t="shared" si="2"/>
        <v>0</v>
      </c>
      <c r="M10" s="1094">
        <f t="shared" si="3"/>
        <v>0</v>
      </c>
      <c r="N10" s="1097"/>
      <c r="O10" s="1098"/>
      <c r="P10" s="168"/>
      <c r="Q10" s="2137"/>
      <c r="R10"/>
      <c r="S10"/>
      <c r="T10"/>
      <c r="U10"/>
    </row>
    <row r="11" spans="1:24" s="166" customFormat="1" ht="20.100000000000001" customHeight="1">
      <c r="A11" s="169"/>
      <c r="B11" s="153">
        <v>1.5</v>
      </c>
      <c r="C11" s="1089" t="s">
        <v>296</v>
      </c>
      <c r="D11" s="1098"/>
      <c r="E11" s="1591"/>
      <c r="F11" s="1090" t="s">
        <v>32</v>
      </c>
      <c r="G11" s="1091">
        <f>IF(E11&lt;=0,0,0)</f>
        <v>0</v>
      </c>
      <c r="H11" s="1121">
        <f>IF(E11&gt;0,'1.ต้นทุนถนน AC.'!$M$41,0)</f>
        <v>0</v>
      </c>
      <c r="I11" s="2329">
        <f t="shared" si="0"/>
        <v>0</v>
      </c>
      <c r="J11" s="1092">
        <f>E11*I11</f>
        <v>0</v>
      </c>
      <c r="K11" s="1085">
        <f>IF(E11&gt;0,'NO DELETE'!$Q$18,)</f>
        <v>0</v>
      </c>
      <c r="L11" s="1094">
        <f t="shared" si="2"/>
        <v>0</v>
      </c>
      <c r="M11" s="1094">
        <f t="shared" si="3"/>
        <v>0</v>
      </c>
      <c r="N11" s="1095"/>
      <c r="O11" s="1096"/>
      <c r="P11" s="170"/>
      <c r="Q11" s="2137"/>
      <c r="R11"/>
      <c r="S11"/>
      <c r="T11"/>
      <c r="U11"/>
    </row>
    <row r="12" spans="1:24" s="166" customFormat="1" ht="20.100000000000001" customHeight="1">
      <c r="A12" s="169"/>
      <c r="B12" s="153">
        <v>1.6</v>
      </c>
      <c r="C12" s="1089" t="s">
        <v>297</v>
      </c>
      <c r="D12" s="1098"/>
      <c r="E12" s="1591"/>
      <c r="F12" s="1090" t="s">
        <v>32</v>
      </c>
      <c r="G12" s="1091">
        <f>IF(E12&lt;=0,0,+'1.ต้นทุนถนน AC.'!$M$32)</f>
        <v>0</v>
      </c>
      <c r="H12" s="1091">
        <f>IF(E12&lt;=0,0,+'1.ต้นทุนถนน AC.'!$M$33)</f>
        <v>0</v>
      </c>
      <c r="I12" s="2329">
        <f t="shared" si="0"/>
        <v>0</v>
      </c>
      <c r="J12" s="1092">
        <f>E12*I12</f>
        <v>0</v>
      </c>
      <c r="K12" s="1085">
        <f>IF(E12&gt;0,'NO DELETE'!$Q$18,)</f>
        <v>0</v>
      </c>
      <c r="L12" s="1094">
        <f t="shared" si="2"/>
        <v>0</v>
      </c>
      <c r="M12" s="1094">
        <f t="shared" si="3"/>
        <v>0</v>
      </c>
      <c r="N12" s="1095"/>
      <c r="O12" s="1096"/>
      <c r="Q12" s="2137"/>
      <c r="R12"/>
      <c r="S12"/>
      <c r="T12"/>
      <c r="U12"/>
      <c r="V12" s="171"/>
      <c r="W12" s="171"/>
      <c r="X12" s="171"/>
    </row>
    <row r="13" spans="1:24" s="150" customFormat="1" ht="20.100000000000001" customHeight="1">
      <c r="A13" s="167"/>
      <c r="B13" s="153">
        <v>1.7</v>
      </c>
      <c r="C13" s="1089" t="s">
        <v>1948</v>
      </c>
      <c r="D13" s="1098"/>
      <c r="E13" s="1591"/>
      <c r="F13" s="1090" t="s">
        <v>32</v>
      </c>
      <c r="G13" s="1091">
        <v>0</v>
      </c>
      <c r="H13" s="1091">
        <f>IF(E13&lt;=0,0,+'1.ต้นทุนถนน AC.'!$M$33)</f>
        <v>0</v>
      </c>
      <c r="I13" s="2329">
        <f t="shared" si="0"/>
        <v>0</v>
      </c>
      <c r="J13" s="1092">
        <f t="shared" si="1"/>
        <v>0</v>
      </c>
      <c r="K13" s="1085">
        <f>IF(E13&gt;0,'NO DELETE'!$Q$18,)</f>
        <v>0</v>
      </c>
      <c r="L13" s="1094">
        <f t="shared" si="2"/>
        <v>0</v>
      </c>
      <c r="M13" s="1094">
        <f t="shared" si="3"/>
        <v>0</v>
      </c>
      <c r="N13" s="1097"/>
      <c r="O13" s="1098"/>
      <c r="Q13" s="2137"/>
      <c r="R13"/>
      <c r="S13"/>
      <c r="T13"/>
      <c r="U13"/>
      <c r="V13" s="171"/>
      <c r="W13" s="171"/>
      <c r="X13" s="171"/>
    </row>
    <row r="14" spans="1:24" s="150" customFormat="1" ht="20.100000000000001" customHeight="1">
      <c r="A14" s="167"/>
      <c r="B14" s="153">
        <v>1.8</v>
      </c>
      <c r="C14" s="1089" t="s">
        <v>298</v>
      </c>
      <c r="D14" s="1089"/>
      <c r="E14" s="1591"/>
      <c r="F14" s="1090" t="s">
        <v>32</v>
      </c>
      <c r="G14" s="1091">
        <f>IF(E14&lt;=0,0,+'1.ต้นทุนถนน AC.'!$M$55)</f>
        <v>0</v>
      </c>
      <c r="H14" s="1091">
        <f>IF(E14&lt;=0,0,+'1.ต้นทุนถนน AC.'!$M$56)</f>
        <v>0</v>
      </c>
      <c r="I14" s="2329">
        <f t="shared" si="0"/>
        <v>0</v>
      </c>
      <c r="J14" s="1092">
        <f t="shared" si="1"/>
        <v>0</v>
      </c>
      <c r="K14" s="1085">
        <f>IF(E14&gt;0,'NO DELETE'!$Q$18,)</f>
        <v>0</v>
      </c>
      <c r="L14" s="1094">
        <f t="shared" si="2"/>
        <v>0</v>
      </c>
      <c r="M14" s="1094">
        <f t="shared" si="3"/>
        <v>0</v>
      </c>
      <c r="N14" s="1097"/>
      <c r="O14" s="1098"/>
      <c r="P14" s="153"/>
      <c r="Q14" s="2137"/>
      <c r="R14"/>
      <c r="S14"/>
      <c r="T14"/>
      <c r="U14"/>
      <c r="V14" s="171"/>
      <c r="W14" s="171"/>
      <c r="X14" s="171"/>
    </row>
    <row r="15" spans="1:24" s="150" customFormat="1" ht="20.100000000000001" customHeight="1">
      <c r="A15" s="167"/>
      <c r="B15" s="153">
        <v>1.9</v>
      </c>
      <c r="C15" s="1089" t="s">
        <v>299</v>
      </c>
      <c r="D15" s="1089"/>
      <c r="E15" s="1591">
        <f>+BackupAC!J23</f>
        <v>1506</v>
      </c>
      <c r="F15" s="1090" t="s">
        <v>32</v>
      </c>
      <c r="G15" s="1091">
        <f>IF(E15&lt;=0,0,+'1.ต้นทุนถนน AC.'!$M$62)</f>
        <v>787.32</v>
      </c>
      <c r="H15" s="1091">
        <f>IF(E15&lt;=0,0,+'1.ต้นทุนถนน AC.'!$M$63+'1.ต้นทุนถนน AC.'!$M$64)</f>
        <v>113.07000000000001</v>
      </c>
      <c r="I15" s="2329">
        <f t="shared" si="0"/>
        <v>900.39</v>
      </c>
      <c r="J15" s="1092">
        <f t="shared" si="1"/>
        <v>1355987.34</v>
      </c>
      <c r="K15" s="1085">
        <f>IF(E15&gt;0,'NO DELETE'!$Q$18,)</f>
        <v>1.4152</v>
      </c>
      <c r="L15" s="1094">
        <f t="shared" si="2"/>
        <v>1274.2</v>
      </c>
      <c r="M15" s="1094">
        <f t="shared" si="3"/>
        <v>1918945.2</v>
      </c>
      <c r="N15" s="156"/>
      <c r="O15" s="1098"/>
      <c r="P15" s="153"/>
      <c r="Q15" s="2137"/>
      <c r="R15"/>
      <c r="S15"/>
      <c r="T15" s="171"/>
      <c r="U15" s="171"/>
      <c r="V15" s="171"/>
      <c r="W15" s="171"/>
      <c r="X15" s="171"/>
    </row>
    <row r="16" spans="1:24" s="166" customFormat="1" ht="20.100000000000001" customHeight="1">
      <c r="A16" s="169"/>
      <c r="B16" s="1592">
        <v>1.1000000000000001</v>
      </c>
      <c r="C16" s="1089" t="s">
        <v>300</v>
      </c>
      <c r="D16" s="1089"/>
      <c r="E16" s="1591"/>
      <c r="F16" s="1090" t="s">
        <v>32</v>
      </c>
      <c r="G16" s="1091">
        <f>IF(E16&lt;=0,0,+'1.ต้นทุนถนน AC.'!$M$78)</f>
        <v>0</v>
      </c>
      <c r="H16" s="1091">
        <v>0</v>
      </c>
      <c r="I16" s="2329">
        <f t="shared" si="0"/>
        <v>0</v>
      </c>
      <c r="J16" s="1092">
        <f>E16*I16</f>
        <v>0</v>
      </c>
      <c r="K16" s="1085">
        <f>IF(E16&gt;0,'NO DELETE'!$Q$18,)</f>
        <v>0</v>
      </c>
      <c r="L16" s="1094">
        <f t="shared" si="2"/>
        <v>0</v>
      </c>
      <c r="M16" s="1094">
        <f t="shared" si="3"/>
        <v>0</v>
      </c>
      <c r="N16" s="1095"/>
      <c r="O16" s="1096"/>
      <c r="P16" s="175"/>
      <c r="Q16" s="2137"/>
      <c r="R16"/>
      <c r="S16"/>
      <c r="T16" s="171"/>
      <c r="U16" s="171"/>
      <c r="V16" s="171"/>
      <c r="W16" s="171"/>
      <c r="X16" s="171"/>
    </row>
    <row r="17" spans="1:24" s="150" customFormat="1" ht="20.100000000000001" customHeight="1">
      <c r="A17" s="167"/>
      <c r="B17" s="1592">
        <v>1.1100000000000001</v>
      </c>
      <c r="C17" s="1089" t="s">
        <v>1657</v>
      </c>
      <c r="D17" s="1089"/>
      <c r="E17" s="1591"/>
      <c r="F17" s="1090" t="s">
        <v>31</v>
      </c>
      <c r="G17" s="1091">
        <f>IF(E17&lt;=0,0,'1.ต้นทุนถนน AC.'!$M$82)</f>
        <v>0</v>
      </c>
      <c r="H17" s="1091">
        <f>IF(E17&lt;=0,0,'1.ต้นทุนถนน AC.'!M83)</f>
        <v>0</v>
      </c>
      <c r="I17" s="2329">
        <f t="shared" si="0"/>
        <v>0</v>
      </c>
      <c r="J17" s="1092">
        <f t="shared" si="1"/>
        <v>0</v>
      </c>
      <c r="K17" s="1085">
        <f>IF(E17&gt;0,'NO DELETE'!$Q$18,)</f>
        <v>0</v>
      </c>
      <c r="L17" s="1094">
        <f t="shared" si="2"/>
        <v>0</v>
      </c>
      <c r="M17" s="1094">
        <f t="shared" si="3"/>
        <v>0</v>
      </c>
      <c r="N17" s="1097"/>
      <c r="O17" s="1098"/>
      <c r="P17" s="153"/>
      <c r="Q17" s="1288"/>
      <c r="R17" s="171"/>
      <c r="S17" s="171"/>
      <c r="T17" s="171"/>
      <c r="U17" s="171"/>
      <c r="V17" s="171"/>
      <c r="W17" s="171"/>
      <c r="X17" s="171"/>
    </row>
    <row r="18" spans="1:24" s="150" customFormat="1" ht="20.100000000000001" customHeight="1">
      <c r="A18" s="167"/>
      <c r="B18" s="1592">
        <v>1.1200000000000001</v>
      </c>
      <c r="C18" s="1089" t="s">
        <v>227</v>
      </c>
      <c r="D18" s="1089"/>
      <c r="E18" s="1591">
        <v>52</v>
      </c>
      <c r="F18" s="1090" t="s">
        <v>31</v>
      </c>
      <c r="G18" s="1091">
        <f>IF(E18&lt;=0,0,SUM('1.ต้นทุนถนน AC.'!$M$68:$M$71))</f>
        <v>218.36400000000003</v>
      </c>
      <c r="H18" s="1091">
        <f>IF(E18&lt;=0,0,SUM('1.ต้นทุนถนน AC.'!$M$72:$M$73))</f>
        <v>45.228000000000009</v>
      </c>
      <c r="I18" s="2329">
        <f t="shared" si="0"/>
        <v>263.58999999999997</v>
      </c>
      <c r="J18" s="1092">
        <f t="shared" si="1"/>
        <v>13706.679999999998</v>
      </c>
      <c r="K18" s="1085">
        <f>IF(E18&gt;0,'NO DELETE'!$Q$18,)</f>
        <v>1.4152</v>
      </c>
      <c r="L18" s="1094">
        <f t="shared" si="2"/>
        <v>373</v>
      </c>
      <c r="M18" s="1094">
        <f t="shared" si="3"/>
        <v>19396</v>
      </c>
      <c r="N18" s="1097"/>
      <c r="O18" s="1098"/>
      <c r="Q18" s="2138"/>
      <c r="V18" s="171"/>
      <c r="W18" s="171"/>
      <c r="X18" s="171"/>
    </row>
    <row r="19" spans="1:24" s="150" customFormat="1" ht="20.100000000000001" customHeight="1">
      <c r="A19" s="167"/>
      <c r="B19" s="1592">
        <v>1.1299999999999999</v>
      </c>
      <c r="C19" s="1089" t="s">
        <v>235</v>
      </c>
      <c r="D19" s="1089"/>
      <c r="E19" s="1591"/>
      <c r="F19" s="1090" t="s">
        <v>31</v>
      </c>
      <c r="G19" s="1091">
        <f>IF(E19&lt;=0,0,'1.ต้นทุนถนน AC.'!$M$114)</f>
        <v>0</v>
      </c>
      <c r="H19" s="1091">
        <f>IF(E19&lt;=0,0,'1.ต้นทุนถนน AC.'!$M$115)</f>
        <v>0</v>
      </c>
      <c r="I19" s="2311">
        <f>ROUND(IF(E19&lt;=0,0,+'1.ต้นทุนถนน AC.'!$M$116),2)</f>
        <v>0</v>
      </c>
      <c r="J19" s="1092">
        <f>E19*I19</f>
        <v>0</v>
      </c>
      <c r="K19" s="1085">
        <f>IF(E19&gt;0,'NO DELETE'!$Q$18,)</f>
        <v>0</v>
      </c>
      <c r="L19" s="1094">
        <f t="shared" si="2"/>
        <v>0</v>
      </c>
      <c r="M19" s="1094">
        <f t="shared" si="3"/>
        <v>0</v>
      </c>
      <c r="N19" s="2662" t="str">
        <f>+IF('NO DELETE'!$AB$45=1,"ลึก 0.15 ซม.","ลึก 0.20 ซม.")</f>
        <v>ลึก 0.20 ซม.</v>
      </c>
      <c r="O19" s="2663"/>
      <c r="P19" s="153"/>
      <c r="Q19" s="2139" t="s">
        <v>1357</v>
      </c>
      <c r="R19"/>
      <c r="V19" s="171"/>
      <c r="W19" s="171"/>
      <c r="X19" s="171"/>
    </row>
    <row r="20" spans="1:24" s="150" customFormat="1" ht="20.100000000000001" customHeight="1">
      <c r="A20" s="176">
        <v>2</v>
      </c>
      <c r="B20" s="2671" t="s">
        <v>33</v>
      </c>
      <c r="C20" s="2671"/>
      <c r="D20" s="164"/>
      <c r="E20" s="2332"/>
      <c r="F20" s="167"/>
      <c r="G20" s="162"/>
      <c r="H20" s="162"/>
      <c r="I20" s="162"/>
      <c r="J20" s="162"/>
      <c r="K20" s="163"/>
      <c r="L20" s="157"/>
      <c r="M20" s="157"/>
      <c r="N20" s="156"/>
      <c r="O20" s="164"/>
      <c r="Q20" s="2138"/>
      <c r="V20" s="171"/>
      <c r="W20" s="171"/>
      <c r="X20" s="171"/>
    </row>
    <row r="21" spans="1:24" s="150" customFormat="1" ht="20.100000000000001" customHeight="1">
      <c r="A21" s="167"/>
      <c r="B21" s="153">
        <v>2.1</v>
      </c>
      <c r="C21" s="1081" t="s">
        <v>301</v>
      </c>
      <c r="D21" s="1081"/>
      <c r="E21" s="1633">
        <f>+BackupAC!G23</f>
        <v>9138</v>
      </c>
      <c r="F21" s="1082" t="s">
        <v>31</v>
      </c>
      <c r="G21" s="1083">
        <f>IF(E21&lt;=0,0,+'1.ต้นทุนถนน AC.'!$M$89)</f>
        <v>24.14</v>
      </c>
      <c r="H21" s="1083">
        <f>IF(E21&lt;=0,0,+'S2'!$BF$15)</f>
        <v>6.54</v>
      </c>
      <c r="I21" s="2331">
        <f>ROUND(G21+H21,2)</f>
        <v>30.68</v>
      </c>
      <c r="J21" s="1084">
        <f>E21*I21</f>
        <v>280353.84000000003</v>
      </c>
      <c r="K21" s="1085">
        <f>IF(E21&gt;0,'NO DELETE'!$Q$18,)</f>
        <v>1.4152</v>
      </c>
      <c r="L21" s="1086">
        <f t="shared" si="2"/>
        <v>43.4</v>
      </c>
      <c r="M21" s="1086">
        <f t="shared" si="3"/>
        <v>396589.2</v>
      </c>
      <c r="N21" s="1087"/>
      <c r="O21" s="1088"/>
      <c r="Q21" s="1288"/>
      <c r="R21" s="171"/>
      <c r="S21" s="171"/>
      <c r="T21" s="171"/>
      <c r="U21" s="171"/>
      <c r="V21" s="171"/>
      <c r="W21" s="171"/>
      <c r="X21" s="171"/>
    </row>
    <row r="22" spans="1:24" s="150" customFormat="1" ht="20.100000000000001" customHeight="1">
      <c r="A22" s="167"/>
      <c r="B22" s="153">
        <v>2.2000000000000002</v>
      </c>
      <c r="C22" s="1089" t="s">
        <v>302</v>
      </c>
      <c r="D22" s="1098"/>
      <c r="E22" s="1591"/>
      <c r="F22" s="1090" t="s">
        <v>31</v>
      </c>
      <c r="G22" s="1091">
        <f>IF(E22&lt;=0,0,+'1.ต้นทุนถนน AC.'!$M$96)</f>
        <v>0</v>
      </c>
      <c r="H22" s="1091">
        <f>IF(E22&lt;=0,0,+'S2'!$BF$16)</f>
        <v>0</v>
      </c>
      <c r="I22" s="2329">
        <f>ROUND(G22+H22,2)</f>
        <v>0</v>
      </c>
      <c r="J22" s="1092">
        <f>E22*I22</f>
        <v>0</v>
      </c>
      <c r="K22" s="1085">
        <f>IF(E22&gt;0,'NO DELETE'!$Q$18,)</f>
        <v>0</v>
      </c>
      <c r="L22" s="1094">
        <f t="shared" si="2"/>
        <v>0</v>
      </c>
      <c r="M22" s="1094">
        <f t="shared" si="3"/>
        <v>0</v>
      </c>
      <c r="N22" s="1097"/>
      <c r="O22" s="1098"/>
      <c r="Q22" s="1288"/>
      <c r="R22" s="171"/>
      <c r="S22" s="171"/>
      <c r="T22" s="171"/>
      <c r="U22" s="171"/>
      <c r="V22" s="171"/>
      <c r="W22" s="171"/>
      <c r="X22" s="171"/>
    </row>
    <row r="23" spans="1:24" s="150" customFormat="1" ht="20.100000000000001" customHeight="1">
      <c r="A23" s="167"/>
      <c r="B23" s="153">
        <v>2.2999999999999998</v>
      </c>
      <c r="C23" s="153" t="str">
        <f>+IF('NO DELETE'!$AQ$30=1,'NO DELETE'!$AR$30,IF('NO DELETE'!$AQ$30=2,'NO DELETE'!$AR$31,'NO DELETE'!$AR$32))</f>
        <v>PARA  Asphaltic  Concrete</v>
      </c>
      <c r="D23" s="153"/>
      <c r="E23" s="174"/>
      <c r="F23" s="167"/>
      <c r="G23" s="162"/>
      <c r="H23" s="162"/>
      <c r="I23" s="162"/>
      <c r="J23" s="162"/>
      <c r="K23" s="163"/>
      <c r="L23" s="157"/>
      <c r="M23" s="157"/>
      <c r="N23" s="156"/>
      <c r="O23" s="164"/>
      <c r="Q23" s="1288"/>
      <c r="R23" s="171"/>
      <c r="S23" s="171"/>
      <c r="T23" s="171"/>
      <c r="U23" s="171"/>
      <c r="V23" s="171"/>
      <c r="W23" s="171"/>
      <c r="X23" s="171"/>
    </row>
    <row r="24" spans="1:24" s="150" customFormat="1" ht="20.100000000000001" customHeight="1">
      <c r="A24" s="167"/>
      <c r="B24" s="153"/>
      <c r="C24" s="1081" t="str">
        <f>+IF('NO DELETE'!$AQ$30=1,'NO DELETE'!$AR$33,IF('NO DELETE'!$AQ$30=2,'NO DELETE'!$AR$34,'NO DELETE'!$AR$35))</f>
        <v xml:space="preserve"> -  PARA Asphaltic  Concrete  (ปูบน Prime  Coat)</v>
      </c>
      <c r="D24" s="1088"/>
      <c r="E24" s="2392">
        <f>+E21</f>
        <v>9138</v>
      </c>
      <c r="F24" s="1082" t="s">
        <v>31</v>
      </c>
      <c r="G24" s="1083">
        <f>IF(E24&lt;=0,0,+'1.ต้นทุนถนน AC.'!$M$140)</f>
        <v>278</v>
      </c>
      <c r="H24" s="1083">
        <f>IF(E24&lt;=0,0,+IF('1.ต้นทุนถนน AC.'!$G$127=5,'S2'!$BF$19,IF('1.ต้นทุนถนน AC.'!$G$127=4,'S2'!$BF$19*0.9,IF('1.ต้นทุนถนน AC.'!$G$127=3.5,'S2'!$BF$19*0.85,IF('1.ต้นทุนถนน AC.'!$G$127=3,'S2'!$BF$19*0.8)))))</f>
        <v>13.113000000000001</v>
      </c>
      <c r="I24" s="2331">
        <f>ROUND(G24+H24,2)</f>
        <v>291.11</v>
      </c>
      <c r="J24" s="1084">
        <f>E24*I24</f>
        <v>2660163.1800000002</v>
      </c>
      <c r="K24" s="1085">
        <f>IF(E24&gt;0,'NO DELETE'!$Q$18,)</f>
        <v>1.4152</v>
      </c>
      <c r="L24" s="1086">
        <f t="shared" si="2"/>
        <v>412</v>
      </c>
      <c r="M24" s="1084">
        <f t="shared" si="3"/>
        <v>3764856</v>
      </c>
      <c r="N24" s="1104">
        <f>'NO DELETE'!AB13</f>
        <v>4</v>
      </c>
      <c r="O24" s="1088" t="s">
        <v>165</v>
      </c>
      <c r="Q24" s="2139" t="s">
        <v>1303</v>
      </c>
      <c r="R24" s="171"/>
      <c r="S24" s="171"/>
      <c r="T24" s="171"/>
      <c r="U24" s="1288"/>
      <c r="V24" s="171"/>
      <c r="W24" s="171"/>
      <c r="X24" s="171"/>
    </row>
    <row r="25" spans="1:24" s="150" customFormat="1" ht="20.100000000000001" customHeight="1">
      <c r="A25" s="167"/>
      <c r="B25" s="153"/>
      <c r="C25" s="1089" t="str">
        <f>+IF('NO DELETE'!$AQ$30=1,'NO DELETE'!$AR$36,IF('NO DELETE'!$AQ$30=2,'NO DELETE'!$AR$37,'NO DELETE'!$AR$38))</f>
        <v xml:space="preserve"> -  PARA Asphaltic  Concrete  (ปูบน Tack  Coat)</v>
      </c>
      <c r="D25" s="1098"/>
      <c r="E25" s="1099"/>
      <c r="F25" s="1090" t="s">
        <v>31</v>
      </c>
      <c r="G25" s="1091">
        <f>IF(E25&lt;=0,0,+'1.ต้นทุนถนน AC.'!$M$141)</f>
        <v>0</v>
      </c>
      <c r="H25" s="1091">
        <f>IF(E25&lt;=0,0,+IF('1.ต้นทุนถนน AC.'!$G$127=5,'S2'!$BF$20,IF('1.ต้นทุนถนน AC.'!$G$127=4,'S2'!$BF$20*0.9,IF('1.ต้นทุนถนน AC.'!$G$127=3.5,'S2'!$BF$20*0.85,IF('1.ต้นทุนถนน AC.'!$G$127=3,'S2'!$BF$20*0.8)))))</f>
        <v>0</v>
      </c>
      <c r="I25" s="2329">
        <f>ROUND(G25+H25,2)</f>
        <v>0</v>
      </c>
      <c r="J25" s="1092">
        <f>E25*I25</f>
        <v>0</v>
      </c>
      <c r="K25" s="1093">
        <f>IF(E25&gt;0,'NO DELETE'!$Q$18,)</f>
        <v>0</v>
      </c>
      <c r="L25" s="1094">
        <f t="shared" si="2"/>
        <v>0</v>
      </c>
      <c r="M25" s="1092">
        <f t="shared" si="3"/>
        <v>0</v>
      </c>
      <c r="N25" s="1277">
        <f>'NO DELETE'!AB14</f>
        <v>4</v>
      </c>
      <c r="O25" s="1098" t="s">
        <v>165</v>
      </c>
      <c r="Q25" s="2139" t="s">
        <v>1304</v>
      </c>
      <c r="R25" s="171"/>
      <c r="S25" s="171"/>
      <c r="T25" s="171"/>
      <c r="U25" s="171"/>
      <c r="V25" s="171"/>
      <c r="W25" s="171"/>
      <c r="X25" s="171"/>
    </row>
    <row r="26" spans="1:24" s="150" customFormat="1" ht="20.100000000000001" customHeight="1">
      <c r="A26" s="167"/>
      <c r="B26" s="153">
        <v>2.4</v>
      </c>
      <c r="C26" s="1089" t="s">
        <v>1736</v>
      </c>
      <c r="D26" s="1089"/>
      <c r="E26" s="1591"/>
      <c r="F26" s="1090" t="s">
        <v>31</v>
      </c>
      <c r="G26" s="1091">
        <f>+IF(E26&gt;0,IF('NO DELETE'!$BG$6=1,'2.ต้นทุนถนน Con.'!L58,'2.ต้นทุนถนน Con.'!L80),)</f>
        <v>0</v>
      </c>
      <c r="H26" s="1091">
        <f>+IF(E26&gt;0,IF('NO DELETE'!$BG$6=1,'2.ต้นทุนถนน Con.'!L57,'2.ต้นทุนถนน Con.'!L79),)</f>
        <v>0</v>
      </c>
      <c r="I26" s="1092">
        <f>ROUND(G26+H26,2)</f>
        <v>0</v>
      </c>
      <c r="J26" s="2393">
        <f>E26*I26</f>
        <v>0</v>
      </c>
      <c r="K26" s="1093">
        <f>IF(E26&gt;0,'NO DELETE'!$Q$18,)</f>
        <v>0</v>
      </c>
      <c r="L26" s="1094">
        <f t="shared" si="2"/>
        <v>0</v>
      </c>
      <c r="M26" s="1092">
        <f t="shared" si="3"/>
        <v>0</v>
      </c>
      <c r="N26" s="1104">
        <f>'NO DELETE'!$AZ$8</f>
        <v>0.2</v>
      </c>
      <c r="O26" s="1088" t="s">
        <v>165</v>
      </c>
      <c r="Q26" s="2139"/>
      <c r="R26" s="171"/>
      <c r="S26" s="171"/>
      <c r="T26" s="171"/>
      <c r="U26" s="171"/>
      <c r="V26" s="171"/>
      <c r="W26" s="171"/>
      <c r="X26" s="171"/>
    </row>
    <row r="27" spans="1:24" s="150" customFormat="1" ht="20.100000000000001" customHeight="1">
      <c r="A27" s="176">
        <v>3</v>
      </c>
      <c r="B27" s="1593" t="s">
        <v>44</v>
      </c>
      <c r="C27" s="178"/>
      <c r="D27" s="153"/>
      <c r="E27" s="174"/>
      <c r="F27" s="160"/>
      <c r="G27" s="162"/>
      <c r="H27" s="162"/>
      <c r="I27" s="162"/>
      <c r="J27" s="162"/>
      <c r="K27" s="163"/>
      <c r="L27" s="157"/>
      <c r="M27" s="157"/>
      <c r="N27" s="156"/>
      <c r="O27" s="164"/>
      <c r="Q27" s="2137"/>
      <c r="R27" s="171"/>
      <c r="S27" s="171"/>
      <c r="T27" s="171"/>
      <c r="U27" s="171"/>
      <c r="V27" s="171"/>
      <c r="W27" s="171"/>
      <c r="X27" s="171"/>
    </row>
    <row r="28" spans="1:24" s="150" customFormat="1" ht="20.100000000000001" customHeight="1">
      <c r="A28" s="167"/>
      <c r="B28" s="153">
        <v>3.1</v>
      </c>
      <c r="C28" s="1101" t="s">
        <v>301</v>
      </c>
      <c r="D28" s="1081"/>
      <c r="E28" s="1633">
        <f>+BackupAC!H23</f>
        <v>3046</v>
      </c>
      <c r="F28" s="1082" t="s">
        <v>31</v>
      </c>
      <c r="G28" s="1083">
        <f>IF(E28&lt;=0,0,+'1.ต้นทุนถนน AC.'!$M$89)</f>
        <v>24.14</v>
      </c>
      <c r="H28" s="1083">
        <f>IF(E28&lt;=0,0,+'S2'!$BF$15)</f>
        <v>6.54</v>
      </c>
      <c r="I28" s="2331">
        <f>ROUND(G28+H28,2)</f>
        <v>30.68</v>
      </c>
      <c r="J28" s="1084">
        <f>E28*I28</f>
        <v>93451.28</v>
      </c>
      <c r="K28" s="1085">
        <f>IF(E28&gt;0,'NO DELETE'!$Q$18,)</f>
        <v>1.4152</v>
      </c>
      <c r="L28" s="1086">
        <f t="shared" si="2"/>
        <v>43.4</v>
      </c>
      <c r="M28" s="1084">
        <f t="shared" si="3"/>
        <v>132196.4</v>
      </c>
      <c r="N28" s="1087"/>
      <c r="O28" s="1088"/>
      <c r="Q28" s="1288"/>
      <c r="R28" s="171"/>
      <c r="S28" s="171"/>
      <c r="T28" s="171"/>
      <c r="U28" s="171"/>
      <c r="V28" s="171"/>
      <c r="W28" s="171"/>
      <c r="X28" s="171"/>
    </row>
    <row r="29" spans="1:24" s="150" customFormat="1" ht="20.100000000000001" customHeight="1">
      <c r="A29" s="167"/>
      <c r="B29" s="153">
        <v>3.2</v>
      </c>
      <c r="C29" s="1102" t="s">
        <v>302</v>
      </c>
      <c r="D29" s="1089"/>
      <c r="E29" s="1591"/>
      <c r="F29" s="1090" t="s">
        <v>31</v>
      </c>
      <c r="G29" s="1091">
        <f>IF(E29&lt;=0,0,+'1.ต้นทุนถนน AC.'!$M$96)</f>
        <v>0</v>
      </c>
      <c r="H29" s="1091">
        <f>IF(E29&lt;=0,0,+'S2'!$BF$16)</f>
        <v>0</v>
      </c>
      <c r="I29" s="2329">
        <f>ROUND(G29+H29,2)</f>
        <v>0</v>
      </c>
      <c r="J29" s="1092">
        <f>E29*I29</f>
        <v>0</v>
      </c>
      <c r="K29" s="1093">
        <f>IF(E29&gt;0,'NO DELETE'!$Q$18,)</f>
        <v>0</v>
      </c>
      <c r="L29" s="1094">
        <f t="shared" si="2"/>
        <v>0</v>
      </c>
      <c r="M29" s="1092">
        <f t="shared" si="3"/>
        <v>0</v>
      </c>
      <c r="N29" s="1097"/>
      <c r="O29" s="1098"/>
      <c r="Q29" s="1288"/>
      <c r="R29" s="171"/>
      <c r="S29" s="171"/>
      <c r="T29" s="171"/>
      <c r="U29" s="171"/>
      <c r="V29" s="171"/>
      <c r="W29" s="171"/>
      <c r="X29" s="171"/>
    </row>
    <row r="30" spans="1:24" s="150" customFormat="1" ht="20.100000000000001" customHeight="1">
      <c r="A30" s="167"/>
      <c r="B30" s="153">
        <v>3.3</v>
      </c>
      <c r="C30" s="1089" t="str">
        <f>+$C$23</f>
        <v>PARA  Asphaltic  Concrete</v>
      </c>
      <c r="D30" s="1089"/>
      <c r="E30" s="1099"/>
      <c r="F30" s="1090"/>
      <c r="G30" s="1091"/>
      <c r="H30" s="1091"/>
      <c r="I30" s="1092"/>
      <c r="J30" s="1092"/>
      <c r="K30" s="1093"/>
      <c r="L30" s="1094"/>
      <c r="M30" s="1094"/>
      <c r="N30" s="1097"/>
      <c r="O30" s="1098"/>
      <c r="Q30" s="1288"/>
      <c r="R30" s="171"/>
      <c r="S30" s="171"/>
      <c r="T30" s="171"/>
      <c r="U30" s="171"/>
      <c r="V30" s="171"/>
      <c r="W30" s="171"/>
      <c r="X30" s="171"/>
    </row>
    <row r="31" spans="1:24" s="150" customFormat="1" ht="20.100000000000001" customHeight="1">
      <c r="A31" s="167"/>
      <c r="B31" s="153"/>
      <c r="C31" s="1580" t="str">
        <f>+$C$24</f>
        <v xml:space="preserve"> -  PARA Asphaltic  Concrete  (ปูบน Prime  Coat)</v>
      </c>
      <c r="D31" s="746"/>
      <c r="E31" s="1099">
        <f>+E28</f>
        <v>3046</v>
      </c>
      <c r="F31" s="1090" t="s">
        <v>31</v>
      </c>
      <c r="G31" s="1091">
        <f>+IF(E31&lt;=0,0,+'1.ต้นทุนถนน AC.'!$M$140)</f>
        <v>278</v>
      </c>
      <c r="H31" s="1091">
        <f>IF(E31&lt;=0,0,+IF('1.ต้นทุนถนน AC.'!$G$127=5,'S2'!$BF$19,IF('1.ต้นทุนถนน AC.'!$G$127=4,'S2'!$BF$19*0.9,IF('1.ต้นทุนถนน AC.'!$G$127=3.5,'S2'!$BF$19*0.85,IF('1.ต้นทุนถนน AC.'!$G$127=3,'S2'!$BF$19*0.8)))))</f>
        <v>13.113000000000001</v>
      </c>
      <c r="I31" s="2329">
        <f>ROUND(G31+H31,2)</f>
        <v>291.11</v>
      </c>
      <c r="J31" s="1092">
        <f>E31*I31</f>
        <v>886721.06</v>
      </c>
      <c r="K31" s="1093">
        <f>IF(E31&gt;0,'NO DELETE'!$Q$18,)</f>
        <v>1.4152</v>
      </c>
      <c r="L31" s="1094">
        <f t="shared" si="2"/>
        <v>412</v>
      </c>
      <c r="M31" s="1094">
        <f t="shared" si="3"/>
        <v>1254952</v>
      </c>
      <c r="N31" s="1103">
        <f>+$N$24</f>
        <v>4</v>
      </c>
      <c r="O31" s="1098" t="s">
        <v>165</v>
      </c>
      <c r="Q31" s="2138"/>
    </row>
    <row r="32" spans="1:24" s="150" customFormat="1" ht="20.100000000000001" customHeight="1">
      <c r="A32" s="167"/>
      <c r="B32" s="153"/>
      <c r="C32" s="1580" t="str">
        <f>+$C$25</f>
        <v xml:space="preserve"> -  PARA Asphaltic  Concrete  (ปูบน Tack  Coat)</v>
      </c>
      <c r="D32" s="746"/>
      <c r="E32" s="1099"/>
      <c r="F32" s="1090" t="s">
        <v>31</v>
      </c>
      <c r="G32" s="1091">
        <f>IF(E32&lt;=0,0,+'1.ต้นทุนถนน AC.'!$M$141)</f>
        <v>0</v>
      </c>
      <c r="H32" s="1091">
        <f>IF(E32&lt;=0,0,+IF('1.ต้นทุนถนน AC.'!$G$127=5,'S2'!$BF$20,IF('1.ต้นทุนถนน AC.'!$G$127=4,'S2'!$BF$20*0.9,IF('1.ต้นทุนถนน AC.'!$G$127=3.5,'S2'!$BF$20*0.85,IF('1.ต้นทุนถนน AC.'!$G$127=3,'S2'!$BF$20*0.8)))))</f>
        <v>0</v>
      </c>
      <c r="I32" s="2329">
        <f>ROUND(G32+H32,2)</f>
        <v>0</v>
      </c>
      <c r="J32" s="1092">
        <f>E32*I32</f>
        <v>0</v>
      </c>
      <c r="K32" s="1085">
        <f>IF(E32&gt;0,'NO DELETE'!$Q$18,)</f>
        <v>0</v>
      </c>
      <c r="L32" s="1094">
        <f t="shared" si="2"/>
        <v>0</v>
      </c>
      <c r="M32" s="1094">
        <f t="shared" si="3"/>
        <v>0</v>
      </c>
      <c r="N32" s="1103">
        <f>+$N$25</f>
        <v>4</v>
      </c>
      <c r="O32" s="1098" t="s">
        <v>165</v>
      </c>
      <c r="Q32" s="2138"/>
    </row>
    <row r="33" spans="1:24" s="150" customFormat="1" ht="20.100000000000001" hidden="1" customHeight="1">
      <c r="A33" s="167"/>
      <c r="B33" s="153">
        <v>3.4</v>
      </c>
      <c r="C33" s="1081" t="s">
        <v>1737</v>
      </c>
      <c r="D33" s="1081"/>
      <c r="E33" s="1100">
        <v>0</v>
      </c>
      <c r="F33" s="1082" t="s">
        <v>32</v>
      </c>
      <c r="G33" s="1083">
        <f>IF(E33&lt;=0,0,'1.ต้นทุนถนน AC.'!$M$55)</f>
        <v>0</v>
      </c>
      <c r="H33" s="1083">
        <f>IF(E33&lt;=0,0,'1.ต้นทุนถนน AC.'!$M$56)</f>
        <v>0</v>
      </c>
      <c r="I33" s="1084">
        <f>ROUND(G33+H33,2)</f>
        <v>0</v>
      </c>
      <c r="J33" s="1084">
        <f>E33*I33</f>
        <v>0</v>
      </c>
      <c r="K33" s="1085">
        <f>IF(E33&gt;0,'NO DELETE'!$Q$18,)</f>
        <v>0</v>
      </c>
      <c r="L33" s="1086">
        <f t="shared" si="2"/>
        <v>0</v>
      </c>
      <c r="M33" s="1084">
        <f t="shared" si="3"/>
        <v>0</v>
      </c>
      <c r="N33" s="1087"/>
      <c r="O33" s="1088"/>
      <c r="Q33" s="1288"/>
      <c r="R33" s="171"/>
      <c r="S33" s="171"/>
      <c r="T33" s="171"/>
      <c r="U33" s="171"/>
      <c r="V33" s="171"/>
      <c r="W33" s="171"/>
      <c r="X33" s="171"/>
    </row>
    <row r="34" spans="1:24" s="150" customFormat="1" ht="20.100000000000001" customHeight="1">
      <c r="A34" s="176">
        <v>4</v>
      </c>
      <c r="B34" s="1587" t="s">
        <v>36</v>
      </c>
      <c r="C34" s="178"/>
      <c r="E34" s="174"/>
      <c r="F34" s="167"/>
      <c r="G34" s="162"/>
      <c r="H34" s="162"/>
      <c r="I34" s="162"/>
      <c r="J34" s="162"/>
      <c r="K34" s="163"/>
      <c r="L34" s="157"/>
      <c r="M34" s="157"/>
      <c r="N34" s="156"/>
      <c r="O34" s="164"/>
      <c r="Q34" s="2137"/>
      <c r="R34"/>
      <c r="S34"/>
    </row>
    <row r="35" spans="1:24" s="150" customFormat="1" ht="20.100000000000001" customHeight="1">
      <c r="A35" s="167"/>
      <c r="B35" s="153">
        <v>4.0999999999999996</v>
      </c>
      <c r="C35" s="1081" t="str">
        <f>+"สีเทอร์โมพลาสติก "&amp;VLOOKUP('NO DELETE'!AE17,'NO DELETE'!AE13:AF16,2)</f>
        <v>สีเทอร์โมพลาสติก เส้นกว้าง 0.10 ม.( 3 เส้น)</v>
      </c>
      <c r="D35" s="1088"/>
      <c r="E35" s="2394">
        <f>ROUND(IF('NO DELETE'!AE17=1,$J$3*0.245*1000,IF('NO DELETE'!AE17=2,$J$3*0.2*1000,IF('NO DELETE'!AE17=3,$J$3*0.36*1000,$J$3*0.3*1000))),)</f>
        <v>245</v>
      </c>
      <c r="F35" s="1082" t="s">
        <v>31</v>
      </c>
      <c r="G35" s="1083">
        <v>0</v>
      </c>
      <c r="H35" s="1083">
        <v>0</v>
      </c>
      <c r="I35" s="1112">
        <f>ROUND(IF(E35&lt;=0,0,'NO DELETE'!AL62),2)</f>
        <v>280</v>
      </c>
      <c r="J35" s="1084">
        <f>E35*I35</f>
        <v>68600</v>
      </c>
      <c r="K35" s="1085">
        <f>IF(E35&gt;0,'NO DELETE'!$Q$18,)</f>
        <v>1.4152</v>
      </c>
      <c r="L35" s="1086">
        <f t="shared" si="2"/>
        <v>396.3</v>
      </c>
      <c r="M35" s="1086">
        <f t="shared" si="3"/>
        <v>97093.5</v>
      </c>
      <c r="N35" s="2672"/>
      <c r="O35" s="2673"/>
      <c r="Q35" s="2137"/>
      <c r="R35"/>
      <c r="S35"/>
    </row>
    <row r="36" spans="1:24" s="150" customFormat="1" ht="20.100000000000001" customHeight="1">
      <c r="A36" s="167"/>
      <c r="B36" s="153">
        <v>4.2</v>
      </c>
      <c r="C36" s="1081" t="s">
        <v>1859</v>
      </c>
      <c r="D36" s="1088"/>
      <c r="E36" s="1632"/>
      <c r="F36" s="1090" t="s">
        <v>31</v>
      </c>
      <c r="G36" s="1091">
        <f>IF(E36&lt;=0,0,)</f>
        <v>0</v>
      </c>
      <c r="H36" s="1091">
        <f>IF(E36&lt;=0,0,)</f>
        <v>0</v>
      </c>
      <c r="I36" s="1112">
        <f>ROUND(IF(E36&lt;=0,0,430),2)</f>
        <v>0</v>
      </c>
      <c r="J36" s="1092">
        <f>E36*I36</f>
        <v>0</v>
      </c>
      <c r="K36" s="1085">
        <f>IF(E36&gt;0,'NO DELETE'!$Q$18,)</f>
        <v>0</v>
      </c>
      <c r="L36" s="1094">
        <f t="shared" ref="L36" si="4">ROUND(K36*I36,1)</f>
        <v>0</v>
      </c>
      <c r="M36" s="1094">
        <f t="shared" ref="M36" si="5">L36*E36</f>
        <v>0</v>
      </c>
      <c r="N36" s="1638"/>
      <c r="O36" s="1637"/>
      <c r="Q36" s="2137"/>
      <c r="R36"/>
      <c r="S36"/>
    </row>
    <row r="37" spans="1:24" s="150" customFormat="1" ht="20.100000000000001" customHeight="1">
      <c r="A37" s="167"/>
      <c r="B37" s="153">
        <v>4.3</v>
      </c>
      <c r="C37" s="1081" t="s">
        <v>1943</v>
      </c>
      <c r="D37" s="1098"/>
      <c r="E37" s="1632"/>
      <c r="F37" s="1090" t="s">
        <v>31</v>
      </c>
      <c r="G37" s="1091">
        <f>IF(E37&lt;=0,0,)</f>
        <v>0</v>
      </c>
      <c r="H37" s="1091">
        <f>IF(E37&lt;=0,0,)</f>
        <v>0</v>
      </c>
      <c r="I37" s="1112">
        <f>ROUND(IF(E37&lt;=0,0,400),2)</f>
        <v>0</v>
      </c>
      <c r="J37" s="1092">
        <f>E37*I37</f>
        <v>0</v>
      </c>
      <c r="K37" s="1085">
        <f>IF(E37&gt;0,'NO DELETE'!$Q$18,)</f>
        <v>0</v>
      </c>
      <c r="L37" s="1094">
        <f t="shared" si="2"/>
        <v>0</v>
      </c>
      <c r="M37" s="1094">
        <f t="shared" si="3"/>
        <v>0</v>
      </c>
      <c r="N37" s="1638"/>
      <c r="O37" s="1098"/>
      <c r="Q37" s="2137"/>
      <c r="R37"/>
      <c r="S37"/>
      <c r="V37" s="180"/>
    </row>
    <row r="38" spans="1:24" s="150" customFormat="1" ht="20.100000000000001" customHeight="1">
      <c r="A38" s="167"/>
      <c r="B38" s="153">
        <v>4.4000000000000004</v>
      </c>
      <c r="C38" s="1125" t="s">
        <v>239</v>
      </c>
      <c r="D38" s="1126"/>
      <c r="E38" s="1591"/>
      <c r="F38" s="1107" t="s">
        <v>119</v>
      </c>
      <c r="G38" s="1091">
        <f>IF(E38&lt;=0,0,)</f>
        <v>0</v>
      </c>
      <c r="H38" s="1091">
        <f>IF(E38&lt;=0,0,)</f>
        <v>0</v>
      </c>
      <c r="I38" s="1106">
        <f>ROUND(IF(E38&lt;=0,0,2659),2)</f>
        <v>0</v>
      </c>
      <c r="J38" s="1092">
        <f>E38*I38</f>
        <v>0</v>
      </c>
      <c r="K38" s="1085">
        <f>IF(E38&gt;0,'NO DELETE'!$Q$18,)</f>
        <v>0</v>
      </c>
      <c r="L38" s="1094">
        <f t="shared" si="2"/>
        <v>0</v>
      </c>
      <c r="M38" s="1094">
        <f t="shared" si="3"/>
        <v>0</v>
      </c>
      <c r="N38" s="1097"/>
      <c r="O38" s="1098"/>
      <c r="Q38" s="2140"/>
    </row>
    <row r="39" spans="1:24" s="150" customFormat="1" ht="20.100000000000001" customHeight="1">
      <c r="A39" s="176">
        <v>5</v>
      </c>
      <c r="B39" s="177" t="s">
        <v>37</v>
      </c>
      <c r="C39" s="153"/>
      <c r="D39" s="164"/>
      <c r="E39" s="183"/>
      <c r="F39" s="167"/>
      <c r="G39" s="162"/>
      <c r="H39" s="162"/>
      <c r="I39" s="162"/>
      <c r="J39" s="162"/>
      <c r="K39" s="163"/>
      <c r="L39" s="157"/>
      <c r="M39" s="157"/>
      <c r="N39" s="156"/>
      <c r="O39" s="164"/>
      <c r="Q39" s="2138"/>
      <c r="V39" s="180"/>
    </row>
    <row r="40" spans="1:24" s="150" customFormat="1" ht="20.100000000000001" customHeight="1">
      <c r="A40" s="184"/>
      <c r="B40" s="153">
        <v>5.0999999999999996</v>
      </c>
      <c r="C40" s="153" t="s">
        <v>565</v>
      </c>
      <c r="D40" s="164"/>
      <c r="E40" s="174"/>
      <c r="F40" s="160"/>
      <c r="G40" s="162"/>
      <c r="H40" s="162"/>
      <c r="I40" s="162"/>
      <c r="J40" s="162"/>
      <c r="K40" s="163"/>
      <c r="L40" s="157"/>
      <c r="M40" s="157"/>
      <c r="N40" s="156"/>
      <c r="O40" s="164"/>
      <c r="Q40" s="2138"/>
    </row>
    <row r="41" spans="1:24" s="150" customFormat="1" ht="20.100000000000001" customHeight="1">
      <c r="A41" s="167"/>
      <c r="B41" s="153"/>
      <c r="C41" s="1108" t="s">
        <v>304</v>
      </c>
      <c r="D41" s="1111" t="s">
        <v>230</v>
      </c>
      <c r="E41" s="1633"/>
      <c r="F41" s="1109" t="s">
        <v>39</v>
      </c>
      <c r="G41" s="1083">
        <f>IF(E41&lt;=0,0,90)</f>
        <v>0</v>
      </c>
      <c r="H41" s="1083">
        <f>IF(E41&lt;=0,0,20)</f>
        <v>0</v>
      </c>
      <c r="I41" s="1084">
        <f>ROUND(G41+H41,2)</f>
        <v>0</v>
      </c>
      <c r="J41" s="1084">
        <f>E41*I41</f>
        <v>0</v>
      </c>
      <c r="K41" s="1085">
        <f>IF(E41&gt;0,'NO DELETE'!$Q$18,)</f>
        <v>0</v>
      </c>
      <c r="L41" s="1086">
        <f t="shared" si="2"/>
        <v>0</v>
      </c>
      <c r="M41" s="1086">
        <f>L41*E41</f>
        <v>0</v>
      </c>
      <c r="N41" s="1087"/>
      <c r="O41" s="1088"/>
      <c r="Q41" s="2138"/>
    </row>
    <row r="42" spans="1:24" s="150" customFormat="1" ht="20.100000000000001" customHeight="1">
      <c r="A42" s="167"/>
      <c r="B42" s="153"/>
      <c r="C42" s="1110" t="s">
        <v>305</v>
      </c>
      <c r="D42" s="1105" t="s">
        <v>231</v>
      </c>
      <c r="E42" s="1591"/>
      <c r="F42" s="1107" t="s">
        <v>39</v>
      </c>
      <c r="G42" s="1091">
        <f>IF(E42&lt;=0,0,325)</f>
        <v>0</v>
      </c>
      <c r="H42" s="1091">
        <f>IF(E42&lt;=0,0,75)</f>
        <v>0</v>
      </c>
      <c r="I42" s="1092">
        <f>ROUND(G42+H42,2)</f>
        <v>0</v>
      </c>
      <c r="J42" s="1092">
        <f>E42*I42</f>
        <v>0</v>
      </c>
      <c r="K42" s="1085">
        <f>IF(E42&gt;0,'NO DELETE'!$Q$18,)</f>
        <v>0</v>
      </c>
      <c r="L42" s="1094">
        <f t="shared" si="2"/>
        <v>0</v>
      </c>
      <c r="M42" s="1094">
        <f>L42*E42</f>
        <v>0</v>
      </c>
      <c r="N42" s="1097"/>
      <c r="O42" s="1098"/>
      <c r="Q42" s="2138"/>
    </row>
    <row r="43" spans="1:24" s="150" customFormat="1" ht="20.100000000000001" customHeight="1">
      <c r="A43" s="167"/>
      <c r="B43" s="153"/>
      <c r="C43" s="1110" t="s">
        <v>306</v>
      </c>
      <c r="D43" s="1105" t="s">
        <v>236</v>
      </c>
      <c r="E43" s="1591"/>
      <c r="F43" s="1107" t="s">
        <v>38</v>
      </c>
      <c r="G43" s="1091">
        <f>IF(E43&lt;=0,0,)</f>
        <v>0</v>
      </c>
      <c r="H43" s="1091">
        <f>ROUND(IF(E43&lt;=0,0,200),2)</f>
        <v>0</v>
      </c>
      <c r="I43" s="1092">
        <f>ROUND(G43+H43,2)</f>
        <v>0</v>
      </c>
      <c r="J43" s="1092">
        <f>E43*I43</f>
        <v>0</v>
      </c>
      <c r="K43" s="1085">
        <f>IF(E43&gt;0,'NO DELETE'!$Q$18,)</f>
        <v>0</v>
      </c>
      <c r="L43" s="1094">
        <f t="shared" si="2"/>
        <v>0</v>
      </c>
      <c r="M43" s="1094">
        <f>L43*E43</f>
        <v>0</v>
      </c>
      <c r="N43" s="1097"/>
      <c r="O43" s="1098"/>
      <c r="Q43" s="2140"/>
    </row>
    <row r="44" spans="1:24" s="150" customFormat="1" ht="20.100000000000001" customHeight="1">
      <c r="A44" s="167"/>
      <c r="B44" s="153"/>
      <c r="C44" s="1110" t="s">
        <v>307</v>
      </c>
      <c r="D44" s="1105" t="s">
        <v>308</v>
      </c>
      <c r="E44" s="1591"/>
      <c r="F44" s="1107" t="s">
        <v>47</v>
      </c>
      <c r="G44" s="1091">
        <f>IF(E44&lt;=0,0,)</f>
        <v>0</v>
      </c>
      <c r="H44" s="1091">
        <f>ROUND(IF(E44&lt;=0,0,100),2)</f>
        <v>0</v>
      </c>
      <c r="I44" s="1092">
        <f>ROUND(G44+H44,2)</f>
        <v>0</v>
      </c>
      <c r="J44" s="1092">
        <f>E44*I44</f>
        <v>0</v>
      </c>
      <c r="K44" s="1085">
        <f>IF(E44&gt;0,'NO DELETE'!$Q$18,)</f>
        <v>0</v>
      </c>
      <c r="L44" s="1094">
        <f t="shared" si="2"/>
        <v>0</v>
      </c>
      <c r="M44" s="1094">
        <f>L44*E44</f>
        <v>0</v>
      </c>
      <c r="N44" s="1097"/>
      <c r="O44" s="1098"/>
      <c r="Q44" s="2137"/>
      <c r="R44"/>
      <c r="S44"/>
    </row>
    <row r="45" spans="1:24" s="150" customFormat="1" ht="20.100000000000001" customHeight="1">
      <c r="A45" s="167"/>
      <c r="B45" s="1136">
        <v>5.2</v>
      </c>
      <c r="C45" s="153" t="s">
        <v>1346</v>
      </c>
      <c r="D45" s="164"/>
      <c r="E45" s="185"/>
      <c r="F45" s="160"/>
      <c r="G45" s="186"/>
      <c r="H45" s="186"/>
      <c r="I45" s="162"/>
      <c r="J45" s="162"/>
      <c r="K45" s="163"/>
      <c r="L45" s="157"/>
      <c r="M45" s="157"/>
      <c r="N45" s="156"/>
      <c r="O45" s="164"/>
      <c r="Q45" s="2138"/>
    </row>
    <row r="46" spans="1:24" s="150" customFormat="1" ht="20.100000000000001" customHeight="1">
      <c r="A46" s="167"/>
      <c r="B46" s="153"/>
      <c r="C46" s="1108" t="s">
        <v>309</v>
      </c>
      <c r="D46" s="1111" t="str">
        <f>+'NO DELETE'!AK2</f>
        <v>ป้ายกำหนดน้ำหนักบรรทุก</v>
      </c>
      <c r="E46" s="1633"/>
      <c r="F46" s="1109" t="s">
        <v>38</v>
      </c>
      <c r="G46" s="1083">
        <f t="shared" ref="G46:G67" si="6">IF(E46&lt;=0,0,)</f>
        <v>0</v>
      </c>
      <c r="H46" s="1083">
        <f t="shared" ref="H46:H67" si="7">IF(E46&lt;=0,0,)</f>
        <v>0</v>
      </c>
      <c r="I46" s="1112">
        <f>ROUND(IF(E46&lt;=0,0,'NO DELETE'!AL2),2)</f>
        <v>0</v>
      </c>
      <c r="J46" s="1084">
        <f t="shared" ref="J46:J73" si="8">E46*I46</f>
        <v>0</v>
      </c>
      <c r="K46" s="1085">
        <f>IF(E46&gt;0,'NO DELETE'!$Q$18,)</f>
        <v>0</v>
      </c>
      <c r="L46" s="1086">
        <f t="shared" si="2"/>
        <v>0</v>
      </c>
      <c r="M46" s="1086">
        <f t="shared" ref="M46:M73" si="9">L46*E46</f>
        <v>0</v>
      </c>
      <c r="N46" s="2669"/>
      <c r="O46" s="2670"/>
      <c r="Q46" s="2141" t="s">
        <v>19</v>
      </c>
    </row>
    <row r="47" spans="1:24" s="150" customFormat="1" ht="20.100000000000001" customHeight="1">
      <c r="A47" s="167"/>
      <c r="B47" s="153"/>
      <c r="C47" s="1110" t="s">
        <v>311</v>
      </c>
      <c r="D47" s="1105" t="str">
        <f>+'NO DELETE'!AK4</f>
        <v>ป้ายจราจรแบบ บ 1</v>
      </c>
      <c r="E47" s="1633"/>
      <c r="F47" s="1109" t="s">
        <v>38</v>
      </c>
      <c r="G47" s="1091">
        <f t="shared" si="6"/>
        <v>0</v>
      </c>
      <c r="H47" s="1091">
        <f t="shared" si="7"/>
        <v>0</v>
      </c>
      <c r="I47" s="1106">
        <f>ROUND(IF(E47&lt;=0,0,IF('NO DELETE'!$AH$35=1,'NO DELETE'!AL4,IF('NO DELETE'!$AH$35=2,'NO DELETE'!AM4,'NO DELETE'!AN4))),2)</f>
        <v>0</v>
      </c>
      <c r="J47" s="1092">
        <f t="shared" si="8"/>
        <v>0</v>
      </c>
      <c r="K47" s="1085">
        <f>IF(E47&gt;0,'NO DELETE'!$Q$18,)</f>
        <v>0</v>
      </c>
      <c r="L47" s="1094">
        <f t="shared" si="2"/>
        <v>0</v>
      </c>
      <c r="M47" s="1094">
        <f t="shared" si="9"/>
        <v>0</v>
      </c>
      <c r="N47" s="2666" t="str">
        <f>+VLOOKUP('NO DELETE'!$AH$35,'NO DELETE'!$AD$44:$AE$46,2)</f>
        <v>SIZE 2</v>
      </c>
      <c r="O47" s="2667"/>
      <c r="Q47" s="2674" t="s">
        <v>364</v>
      </c>
      <c r="R47" s="2674"/>
      <c r="S47" s="2674"/>
      <c r="T47" s="2674"/>
    </row>
    <row r="48" spans="1:24" s="150" customFormat="1" ht="20.100000000000001" customHeight="1">
      <c r="A48" s="167"/>
      <c r="B48" s="153"/>
      <c r="C48" s="1276" t="s">
        <v>312</v>
      </c>
      <c r="D48" s="1105" t="str">
        <f>+'NO DELETE'!AK5</f>
        <v>ป้ายจราจรแบบ บ 1/1</v>
      </c>
      <c r="E48" s="1633"/>
      <c r="F48" s="1109" t="s">
        <v>38</v>
      </c>
      <c r="G48" s="1091">
        <f t="shared" ref="G48:G56" si="10">IF(E48&lt;=0,0,)</f>
        <v>0</v>
      </c>
      <c r="H48" s="1091">
        <f t="shared" ref="H48:H56" si="11">IF(E48&lt;=0,0,)</f>
        <v>0</v>
      </c>
      <c r="I48" s="1106">
        <f>ROUND(IF(E48&lt;=0,0,IF('NO DELETE'!$AH$35=1,'NO DELETE'!AL5,IF('NO DELETE'!$AH$35=2,'NO DELETE'!AM5,'NO DELETE'!AN5))),2)</f>
        <v>0</v>
      </c>
      <c r="J48" s="1092">
        <f t="shared" si="8"/>
        <v>0</v>
      </c>
      <c r="K48" s="1085">
        <f>IF(E48&gt;0,'NO DELETE'!$Q$18,)</f>
        <v>0</v>
      </c>
      <c r="L48" s="1094">
        <f t="shared" si="2"/>
        <v>0</v>
      </c>
      <c r="M48" s="1094">
        <f t="shared" si="9"/>
        <v>0</v>
      </c>
      <c r="N48" s="2666" t="str">
        <f>+VLOOKUP('NO DELETE'!$AH$35,'NO DELETE'!$AD$44:$AE$46,2)</f>
        <v>SIZE 2</v>
      </c>
      <c r="O48" s="2667"/>
      <c r="Q48" s="2674"/>
      <c r="R48" s="2674"/>
      <c r="S48" s="2674"/>
      <c r="T48" s="2674"/>
    </row>
    <row r="49" spans="1:20" s="150" customFormat="1" ht="20.100000000000001" customHeight="1">
      <c r="A49" s="167"/>
      <c r="B49" s="153"/>
      <c r="C49" s="1110" t="s">
        <v>313</v>
      </c>
      <c r="D49" s="1105" t="str">
        <f>+'NO DELETE'!AK6</f>
        <v>ป้ายจราจรแบบ บ 2</v>
      </c>
      <c r="E49" s="1633"/>
      <c r="F49" s="1109" t="s">
        <v>38</v>
      </c>
      <c r="G49" s="1091">
        <f t="shared" si="10"/>
        <v>0</v>
      </c>
      <c r="H49" s="1091">
        <f t="shared" si="11"/>
        <v>0</v>
      </c>
      <c r="I49" s="1106">
        <f>ROUND(IF(E49&lt;=0,0,IF('NO DELETE'!$AH$35=1,'NO DELETE'!AL6,IF('NO DELETE'!$AH$35=2,'NO DELETE'!AM6,'NO DELETE'!AN6))),2)</f>
        <v>0</v>
      </c>
      <c r="J49" s="1092">
        <f t="shared" ref="J49:J53" si="12">E49*I49</f>
        <v>0</v>
      </c>
      <c r="K49" s="1085">
        <f>IF(E49&gt;0,'NO DELETE'!$Q$18,)</f>
        <v>0</v>
      </c>
      <c r="L49" s="1094">
        <f t="shared" ref="L49:L53" si="13">ROUND(K49*I49,1)</f>
        <v>0</v>
      </c>
      <c r="M49" s="1094">
        <f t="shared" ref="M49:M53" si="14">L49*E49</f>
        <v>0</v>
      </c>
      <c r="N49" s="2666" t="str">
        <f>+VLOOKUP('NO DELETE'!$AH$35,'NO DELETE'!$AD$44:$AE$46,2)</f>
        <v>SIZE 2</v>
      </c>
      <c r="O49" s="2667"/>
      <c r="Q49" s="2675" t="s">
        <v>527</v>
      </c>
      <c r="R49" s="2675"/>
      <c r="S49" s="2675"/>
      <c r="T49" s="2675"/>
    </row>
    <row r="50" spans="1:20" s="150" customFormat="1" ht="20.100000000000001" customHeight="1">
      <c r="A50" s="167"/>
      <c r="B50" s="153"/>
      <c r="C50" s="1276" t="s">
        <v>314</v>
      </c>
      <c r="D50" s="1105" t="str">
        <f>+'NO DELETE'!AK7</f>
        <v>ป้ายจราจรแบบ บ 2/1</v>
      </c>
      <c r="E50" s="1633"/>
      <c r="F50" s="1109" t="s">
        <v>38</v>
      </c>
      <c r="G50" s="1091">
        <f t="shared" si="10"/>
        <v>0</v>
      </c>
      <c r="H50" s="1091">
        <f t="shared" si="11"/>
        <v>0</v>
      </c>
      <c r="I50" s="1106">
        <f>ROUND(IF(E50&lt;=0,0,IF('NO DELETE'!$AH$35=1,'NO DELETE'!AL7,IF('NO DELETE'!$AH$35=2,'NO DELETE'!AM7,'NO DELETE'!AN7))),2)</f>
        <v>0</v>
      </c>
      <c r="J50" s="1092">
        <f t="shared" si="12"/>
        <v>0</v>
      </c>
      <c r="K50" s="1085">
        <f>IF(E50&gt;0,'NO DELETE'!$Q$18,)</f>
        <v>0</v>
      </c>
      <c r="L50" s="1094">
        <f t="shared" si="13"/>
        <v>0</v>
      </c>
      <c r="M50" s="1094">
        <f t="shared" si="14"/>
        <v>0</v>
      </c>
      <c r="N50" s="2666" t="str">
        <f>+VLOOKUP('NO DELETE'!$AH$35,'NO DELETE'!$AD$44:$AE$46,2)</f>
        <v>SIZE 2</v>
      </c>
      <c r="O50" s="2667"/>
      <c r="Q50" s="2675"/>
      <c r="R50" s="2675"/>
      <c r="S50" s="2675"/>
      <c r="T50" s="2675"/>
    </row>
    <row r="51" spans="1:20" s="150" customFormat="1" ht="20.100000000000001" customHeight="1">
      <c r="A51" s="167"/>
      <c r="B51" s="153"/>
      <c r="C51" s="1110" t="s">
        <v>315</v>
      </c>
      <c r="D51" s="1105" t="str">
        <f>+'NO DELETE'!AK8</f>
        <v>ป้ายจราจร บ 3 - บ 55</v>
      </c>
      <c r="E51" s="1633"/>
      <c r="F51" s="1109" t="s">
        <v>38</v>
      </c>
      <c r="G51" s="1091">
        <f t="shared" si="10"/>
        <v>0</v>
      </c>
      <c r="H51" s="1091">
        <f t="shared" si="11"/>
        <v>0</v>
      </c>
      <c r="I51" s="1106">
        <f>ROUND(IF(E51&lt;=0,0,IF('NO DELETE'!$AH$35=1,'NO DELETE'!AL8,IF('NO DELETE'!$AH$35=2,'NO DELETE'!AM8,'NO DELETE'!AN8))),2)</f>
        <v>0</v>
      </c>
      <c r="J51" s="1092">
        <f t="shared" si="12"/>
        <v>0</v>
      </c>
      <c r="K51" s="1085">
        <f>IF(E51&gt;0,'NO DELETE'!$Q$18,)</f>
        <v>0</v>
      </c>
      <c r="L51" s="1094">
        <f t="shared" si="13"/>
        <v>0</v>
      </c>
      <c r="M51" s="1094">
        <f t="shared" si="14"/>
        <v>0</v>
      </c>
      <c r="N51" s="2666" t="str">
        <f>+VLOOKUP('NO DELETE'!$AH$35,'NO DELETE'!$AD$44:$AE$46,2)</f>
        <v>SIZE 2</v>
      </c>
      <c r="O51" s="2667"/>
      <c r="Q51" s="2675"/>
      <c r="R51" s="2675"/>
      <c r="S51" s="2675"/>
      <c r="T51" s="2675"/>
    </row>
    <row r="52" spans="1:20" s="150" customFormat="1" ht="20.100000000000001" customHeight="1">
      <c r="A52" s="167"/>
      <c r="B52" s="153"/>
      <c r="C52" s="1276" t="s">
        <v>316</v>
      </c>
      <c r="D52" s="1105" t="str">
        <f>+'NO DELETE'!AK9</f>
        <v>ป้ายจราจร บ 31/1, บ 33/1</v>
      </c>
      <c r="E52" s="1633"/>
      <c r="F52" s="1109" t="s">
        <v>38</v>
      </c>
      <c r="G52" s="1091">
        <f t="shared" si="10"/>
        <v>0</v>
      </c>
      <c r="H52" s="1091">
        <f t="shared" si="11"/>
        <v>0</v>
      </c>
      <c r="I52" s="1106">
        <f>ROUND(IF(E52&lt;=0,0,IF('NO DELETE'!$AH$35=1,'NO DELETE'!AL9,IF('NO DELETE'!$AH$35=2,'NO DELETE'!AM9,'NO DELETE'!AN9))),2)</f>
        <v>0</v>
      </c>
      <c r="J52" s="1092">
        <f t="shared" si="12"/>
        <v>0</v>
      </c>
      <c r="K52" s="1085">
        <f>IF(E52&gt;0,'NO DELETE'!$Q$18,)</f>
        <v>0</v>
      </c>
      <c r="L52" s="1094">
        <f t="shared" si="13"/>
        <v>0</v>
      </c>
      <c r="M52" s="1094">
        <f t="shared" si="14"/>
        <v>0</v>
      </c>
      <c r="N52" s="2666" t="str">
        <f>+VLOOKUP('NO DELETE'!$AH$35,'NO DELETE'!$AD$44:$AE$46,2)</f>
        <v>SIZE 2</v>
      </c>
      <c r="O52" s="2667"/>
      <c r="Q52" s="2676" t="s">
        <v>365</v>
      </c>
      <c r="R52" s="2676"/>
      <c r="S52" s="2676"/>
      <c r="T52" s="2676"/>
    </row>
    <row r="53" spans="1:20" s="150" customFormat="1" ht="20.100000000000001" customHeight="1">
      <c r="A53" s="167"/>
      <c r="B53" s="153"/>
      <c r="C53" s="1110" t="s">
        <v>317</v>
      </c>
      <c r="D53" s="1105" t="str">
        <f>+'NO DELETE'!AK10</f>
        <v>ป้ายจราจร บ 34/1, บ 35/1, บ 36/1</v>
      </c>
      <c r="E53" s="1633"/>
      <c r="F53" s="1109" t="s">
        <v>38</v>
      </c>
      <c r="G53" s="1091">
        <f t="shared" si="10"/>
        <v>0</v>
      </c>
      <c r="H53" s="1091">
        <f t="shared" si="11"/>
        <v>0</v>
      </c>
      <c r="I53" s="1106">
        <f>ROUND(IF(E53&lt;=0,0,IF('NO DELETE'!$AH$35=1,'NO DELETE'!AL10,IF('NO DELETE'!$AH$35=2,'NO DELETE'!AM10,'NO DELETE'!AN10))),2)</f>
        <v>0</v>
      </c>
      <c r="J53" s="1092">
        <f t="shared" si="12"/>
        <v>0</v>
      </c>
      <c r="K53" s="1085">
        <f>IF(E53&gt;0,'NO DELETE'!$Q$18,)</f>
        <v>0</v>
      </c>
      <c r="L53" s="1094">
        <f t="shared" si="13"/>
        <v>0</v>
      </c>
      <c r="M53" s="1094">
        <f t="shared" si="14"/>
        <v>0</v>
      </c>
      <c r="N53" s="2666" t="str">
        <f>+VLOOKUP('NO DELETE'!$AH$35,'NO DELETE'!$AD$44:$AE$46,2)</f>
        <v>SIZE 2</v>
      </c>
      <c r="O53" s="2667"/>
      <c r="Q53" s="2676"/>
      <c r="R53" s="2676"/>
      <c r="S53" s="2676"/>
      <c r="T53" s="2676"/>
    </row>
    <row r="54" spans="1:20" s="150" customFormat="1" ht="20.100000000000001" customHeight="1">
      <c r="A54" s="167"/>
      <c r="B54" s="153"/>
      <c r="C54" s="1276" t="s">
        <v>318</v>
      </c>
      <c r="D54" s="1105" t="str">
        <f>+'NO DELETE'!AK11</f>
        <v>ป้ายจราจรแบบ ต 1 - ต 27,ต 31 - ต 60,ต 75</v>
      </c>
      <c r="E54" s="1633"/>
      <c r="F54" s="1109" t="s">
        <v>38</v>
      </c>
      <c r="G54" s="1091">
        <f t="shared" si="10"/>
        <v>0</v>
      </c>
      <c r="H54" s="1091">
        <f t="shared" si="11"/>
        <v>0</v>
      </c>
      <c r="I54" s="1106">
        <f>ROUND(IF(E54&lt;=0,0,IF('NO DELETE'!$AH$35=1,'NO DELETE'!AL11,IF('NO DELETE'!$AH$35=2,'NO DELETE'!AM11,'NO DELETE'!AN11))),2)</f>
        <v>0</v>
      </c>
      <c r="J54" s="1092">
        <f t="shared" ref="J54:J56" si="15">E54*I54</f>
        <v>0</v>
      </c>
      <c r="K54" s="1085">
        <f>IF(E54&gt;0,'NO DELETE'!$Q$18,)</f>
        <v>0</v>
      </c>
      <c r="L54" s="1094">
        <f t="shared" ref="L54:L56" si="16">ROUND(K54*I54,1)</f>
        <v>0</v>
      </c>
      <c r="M54" s="1094">
        <f t="shared" ref="M54:M56" si="17">L54*E54</f>
        <v>0</v>
      </c>
      <c r="N54" s="2666" t="str">
        <f>+VLOOKUP('NO DELETE'!$AH$35,'NO DELETE'!$AD$44:$AE$46,2)</f>
        <v>SIZE 2</v>
      </c>
      <c r="O54" s="2667"/>
      <c r="Q54" s="2142"/>
      <c r="R54" s="1586"/>
      <c r="S54" s="1586"/>
      <c r="T54" s="1586"/>
    </row>
    <row r="55" spans="1:20" s="150" customFormat="1" ht="20.100000000000001" customHeight="1">
      <c r="A55" s="167"/>
      <c r="B55" s="153"/>
      <c r="C55" s="1110" t="s">
        <v>319</v>
      </c>
      <c r="D55" s="1105" t="str">
        <f>+'NO DELETE'!AK12</f>
        <v>ป้ายจราจร ต 28 - ต 30,ต 62</v>
      </c>
      <c r="E55" s="1633"/>
      <c r="F55" s="1109" t="s">
        <v>38</v>
      </c>
      <c r="G55" s="1091">
        <f t="shared" si="10"/>
        <v>0</v>
      </c>
      <c r="H55" s="1091">
        <f t="shared" si="11"/>
        <v>0</v>
      </c>
      <c r="I55" s="1106">
        <f>ROUND(IF(E55&lt;=0,0,IF('NO DELETE'!$AH$35=1,'NO DELETE'!AL12,IF('NO DELETE'!$AH$35=2,'NO DELETE'!AM12,'NO DELETE'!AN12))),2)</f>
        <v>0</v>
      </c>
      <c r="J55" s="1092">
        <f t="shared" si="15"/>
        <v>0</v>
      </c>
      <c r="K55" s="1085">
        <f>IF(E55&gt;0,'NO DELETE'!$Q$18,)</f>
        <v>0</v>
      </c>
      <c r="L55" s="1094">
        <f t="shared" si="16"/>
        <v>0</v>
      </c>
      <c r="M55" s="1094">
        <f t="shared" si="17"/>
        <v>0</v>
      </c>
      <c r="N55" s="2666" t="str">
        <f>+VLOOKUP('NO DELETE'!$AH$35,'NO DELETE'!$AD$44:$AE$46,2)</f>
        <v>SIZE 2</v>
      </c>
      <c r="O55" s="2667"/>
      <c r="Q55" s="2142"/>
      <c r="R55" s="1586"/>
      <c r="S55" s="1586"/>
      <c r="T55" s="1586"/>
    </row>
    <row r="56" spans="1:20" s="150" customFormat="1" ht="20.100000000000001" customHeight="1">
      <c r="A56" s="167"/>
      <c r="B56" s="153"/>
      <c r="C56" s="1110" t="s">
        <v>320</v>
      </c>
      <c r="D56" s="1105" t="str">
        <f>+'NO DELETE'!AK13</f>
        <v>ป้ายจราจร ต 61,ต 61/1</v>
      </c>
      <c r="E56" s="1633"/>
      <c r="F56" s="1109" t="s">
        <v>38</v>
      </c>
      <c r="G56" s="1091">
        <f t="shared" si="10"/>
        <v>0</v>
      </c>
      <c r="H56" s="1091">
        <f t="shared" si="11"/>
        <v>0</v>
      </c>
      <c r="I56" s="1106">
        <f>ROUND(IF(E56&lt;=0,0,IF('NO DELETE'!$AH$35=1,'NO DELETE'!AL13,IF('NO DELETE'!$AH$35=2,'NO DELETE'!AM13,'NO DELETE'!AN13))),2)</f>
        <v>0</v>
      </c>
      <c r="J56" s="1092">
        <f t="shared" si="15"/>
        <v>0</v>
      </c>
      <c r="K56" s="1085">
        <f>IF(E56&gt;0,'NO DELETE'!$Q$18,)</f>
        <v>0</v>
      </c>
      <c r="L56" s="1094">
        <f t="shared" si="16"/>
        <v>0</v>
      </c>
      <c r="M56" s="1094">
        <f t="shared" si="17"/>
        <v>0</v>
      </c>
      <c r="N56" s="2666" t="str">
        <f>+VLOOKUP('NO DELETE'!$AH$35,'NO DELETE'!$AD$44:$AE$46,2)</f>
        <v>SIZE 2</v>
      </c>
      <c r="O56" s="2667"/>
      <c r="Q56" s="2142"/>
      <c r="R56" s="1586"/>
      <c r="S56" s="1586"/>
      <c r="T56" s="1586"/>
    </row>
    <row r="57" spans="1:20" s="150" customFormat="1" ht="21.75" customHeight="1">
      <c r="A57" s="2638" t="s">
        <v>131</v>
      </c>
      <c r="B57" s="2639"/>
      <c r="C57" s="2639"/>
      <c r="D57" s="2639"/>
      <c r="E57" s="2639"/>
      <c r="F57" s="2639"/>
      <c r="G57" s="2639"/>
      <c r="H57" s="2639"/>
      <c r="I57" s="2640"/>
      <c r="J57" s="888">
        <f>SUM(J6:J56)</f>
        <v>5531143.3000000007</v>
      </c>
      <c r="K57" s="886"/>
      <c r="L57" s="887"/>
      <c r="M57" s="888">
        <f>SUM(M6:M56)</f>
        <v>7827708.3000000007</v>
      </c>
      <c r="N57" s="158"/>
      <c r="O57" s="189"/>
      <c r="Q57" s="2138"/>
    </row>
    <row r="58" spans="1:20" s="150" customFormat="1" ht="21.75" customHeight="1">
      <c r="A58" s="2651" t="str">
        <f>+A1</f>
        <v xml:space="preserve">รายละเอียดการประมาณราคา บำรุงพิเศษ ซ่อมสร้างผิวทาง Asphaltic Concrete </v>
      </c>
      <c r="B58" s="2651"/>
      <c r="C58" s="2651"/>
      <c r="D58" s="2651"/>
      <c r="E58" s="2651"/>
      <c r="F58" s="2651"/>
      <c r="G58" s="2651"/>
      <c r="H58" s="2651"/>
      <c r="I58" s="2651"/>
      <c r="J58" s="2651"/>
      <c r="K58" s="2651"/>
      <c r="L58" s="2651"/>
      <c r="M58" s="2651"/>
      <c r="N58" s="2651"/>
      <c r="O58" s="2651"/>
      <c r="Q58" s="2138"/>
    </row>
    <row r="59" spans="1:20" s="150" customFormat="1" ht="18.75" customHeight="1">
      <c r="A59" s="973" t="str">
        <f>+A2</f>
        <v>รหัสสายทาง</v>
      </c>
      <c r="B59" s="881"/>
      <c r="C59" s="881"/>
      <c r="D59" s="981" t="str">
        <f>+D2</f>
        <v>ปน.4031</v>
      </c>
      <c r="E59" s="973" t="str">
        <f>+E2</f>
        <v>ชื่อสายทาง</v>
      </c>
      <c r="F59" s="982" t="str">
        <f>+F2</f>
        <v>แยกทางหลวงหมายเลข 4157-บ้านปาตา</v>
      </c>
      <c r="G59" s="880"/>
      <c r="H59" s="880"/>
      <c r="I59" s="880"/>
      <c r="J59" s="880"/>
      <c r="K59" s="880"/>
      <c r="L59" s="882"/>
      <c r="M59" s="2652" t="s">
        <v>375</v>
      </c>
      <c r="N59" s="2654">
        <f>+N2</f>
        <v>2559</v>
      </c>
      <c r="O59" s="2654"/>
      <c r="Q59" s="2138"/>
    </row>
    <row r="60" spans="1:20" s="150" customFormat="1" ht="21.75" customHeight="1">
      <c r="A60" s="973" t="str">
        <f>+A3</f>
        <v>สถานที่ตั้ง</v>
      </c>
      <c r="B60" s="881"/>
      <c r="C60" s="881"/>
      <c r="D60" s="981" t="str">
        <f>+D3</f>
        <v>อำเภอ  ปะนาเระ,ยะหริ่ง จังหวัด ปัตตานี</v>
      </c>
      <c r="F60" s="883"/>
      <c r="G60" s="883"/>
      <c r="H60" s="973" t="str">
        <f>+H3</f>
        <v>ปริมาณดำเนินการ</v>
      </c>
      <c r="J60" s="1000">
        <f>+J3</f>
        <v>1</v>
      </c>
      <c r="K60" s="974" t="str">
        <f>+K3</f>
        <v>แห่ง</v>
      </c>
      <c r="L60" s="884"/>
      <c r="M60" s="2653"/>
      <c r="N60" s="2655"/>
      <c r="O60" s="2655"/>
      <c r="Q60" s="2138"/>
    </row>
    <row r="61" spans="1:20" s="150" customFormat="1">
      <c r="A61" s="2645" t="s">
        <v>0</v>
      </c>
      <c r="B61" s="2647" t="s">
        <v>41</v>
      </c>
      <c r="C61" s="2656"/>
      <c r="D61" s="2648"/>
      <c r="E61" s="2645" t="s">
        <v>22</v>
      </c>
      <c r="F61" s="2645" t="s">
        <v>23</v>
      </c>
      <c r="G61" s="2638" t="s">
        <v>24</v>
      </c>
      <c r="H61" s="2639"/>
      <c r="I61" s="2640"/>
      <c r="J61" s="2174" t="s">
        <v>25</v>
      </c>
      <c r="K61" s="2645" t="s">
        <v>2</v>
      </c>
      <c r="L61" s="2638" t="s">
        <v>398</v>
      </c>
      <c r="M61" s="2640"/>
      <c r="N61" s="2647" t="s">
        <v>19</v>
      </c>
      <c r="O61" s="2648"/>
      <c r="Q61" s="2138"/>
    </row>
    <row r="62" spans="1:20" s="150" customFormat="1">
      <c r="A62" s="2646"/>
      <c r="B62" s="2649"/>
      <c r="C62" s="2657"/>
      <c r="D62" s="2650"/>
      <c r="E62" s="2646"/>
      <c r="F62" s="2646"/>
      <c r="G62" s="2172" t="s">
        <v>26</v>
      </c>
      <c r="H62" s="2172" t="s">
        <v>27</v>
      </c>
      <c r="I62" s="2172" t="s">
        <v>28</v>
      </c>
      <c r="J62" s="2175" t="s">
        <v>29</v>
      </c>
      <c r="K62" s="2646"/>
      <c r="L62" s="2176" t="s">
        <v>234</v>
      </c>
      <c r="M62" s="2176" t="s">
        <v>28</v>
      </c>
      <c r="N62" s="2649"/>
      <c r="O62" s="2650"/>
      <c r="Q62" s="2138"/>
    </row>
    <row r="63" spans="1:20" s="180" customFormat="1">
      <c r="A63" s="190"/>
      <c r="B63" s="1061"/>
      <c r="C63" s="1183"/>
      <c r="D63" s="191" t="s">
        <v>132</v>
      </c>
      <c r="E63" s="196"/>
      <c r="F63" s="196"/>
      <c r="G63" s="196"/>
      <c r="H63" s="196"/>
      <c r="I63" s="196"/>
      <c r="J63" s="1184">
        <f>J57</f>
        <v>5531143.3000000007</v>
      </c>
      <c r="K63" s="1185"/>
      <c r="L63" s="1186"/>
      <c r="M63" s="1184">
        <f>M57</f>
        <v>7827708.3000000007</v>
      </c>
      <c r="N63" s="1061"/>
      <c r="O63" s="1062"/>
      <c r="Q63" s="2143"/>
    </row>
    <row r="64" spans="1:20" s="150" customFormat="1" ht="20.100000000000001" customHeight="1">
      <c r="A64" s="167"/>
      <c r="B64" s="153"/>
      <c r="C64" s="1110" t="s">
        <v>321</v>
      </c>
      <c r="D64" s="1105" t="str">
        <f>+'NO DELETE'!AK77</f>
        <v>ป้ายจราจรแบบ ต 63,ต 66 (2 แผ่นป้ายต่อชุด)</v>
      </c>
      <c r="E64" s="1633"/>
      <c r="F64" s="1109" t="s">
        <v>38</v>
      </c>
      <c r="G64" s="1091">
        <f>IF(E64&lt;=0,0,)</f>
        <v>0</v>
      </c>
      <c r="H64" s="1091">
        <f>IF(E64&lt;=0,0,)</f>
        <v>0</v>
      </c>
      <c r="I64" s="1106">
        <f>(IF(E64&lt;=0,0,'NO DELETE'!AL77))</f>
        <v>0</v>
      </c>
      <c r="J64" s="1092">
        <f>E64*I64</f>
        <v>0</v>
      </c>
      <c r="K64" s="1085">
        <f>IF(E64&gt;0,'NO DELETE'!$Q$18,)</f>
        <v>0</v>
      </c>
      <c r="L64" s="1094">
        <f>ROUND(K64*I64,1)</f>
        <v>0</v>
      </c>
      <c r="M64" s="1094">
        <f>L64*E64</f>
        <v>0</v>
      </c>
      <c r="N64" s="2666" t="str">
        <f>+VLOOKUP('NO DELETE'!$AH$35,'NO DELETE'!$AD$44:$AE$46,2)</f>
        <v>SIZE 2</v>
      </c>
      <c r="O64" s="2667"/>
      <c r="Q64" s="2142"/>
      <c r="R64" s="1586"/>
      <c r="S64" s="1586"/>
      <c r="T64" s="1586"/>
    </row>
    <row r="65" spans="1:20" s="150" customFormat="1" ht="20.100000000000001" customHeight="1">
      <c r="A65" s="167"/>
      <c r="B65" s="153"/>
      <c r="C65" s="1110" t="s">
        <v>322</v>
      </c>
      <c r="D65" s="1105" t="str">
        <f>+'NO DELETE'!AK15</f>
        <v>ป้ายจราจรแบบ ต 64,ต 67</v>
      </c>
      <c r="E65" s="1633"/>
      <c r="F65" s="1109" t="s">
        <v>38</v>
      </c>
      <c r="G65" s="1091">
        <f>IF(E65&lt;=0,0,)</f>
        <v>0</v>
      </c>
      <c r="H65" s="1091">
        <f>IF(E65&lt;=0,0,)</f>
        <v>0</v>
      </c>
      <c r="I65" s="1106">
        <f>ROUND(IF(E65&lt;=0,0,IF('NO DELETE'!$AH$35=1,'NO DELETE'!AL15,IF('NO DELETE'!$AH$35=2,'NO DELETE'!AM15,'NO DELETE'!AN15))),2)</f>
        <v>0</v>
      </c>
      <c r="J65" s="1092">
        <f>E65*I65</f>
        <v>0</v>
      </c>
      <c r="K65" s="1085">
        <f>IF(E65&gt;0,'NO DELETE'!$Q$18,)</f>
        <v>0</v>
      </c>
      <c r="L65" s="1094">
        <f>ROUND(K65*I65,1)</f>
        <v>0</v>
      </c>
      <c r="M65" s="1094">
        <f>L65*E65</f>
        <v>0</v>
      </c>
      <c r="N65" s="2666" t="str">
        <f>+VLOOKUP('NO DELETE'!$AH$35,'NO DELETE'!$AD$44:$AE$46,2)</f>
        <v>SIZE 2</v>
      </c>
      <c r="O65" s="2667"/>
      <c r="Q65" s="2142"/>
      <c r="R65" s="1586"/>
      <c r="S65" s="1586"/>
      <c r="T65" s="1586"/>
    </row>
    <row r="66" spans="1:20" s="150" customFormat="1" ht="20.100000000000001" customHeight="1">
      <c r="A66" s="167"/>
      <c r="B66" s="156"/>
      <c r="C66" s="1110" t="s">
        <v>323</v>
      </c>
      <c r="D66" s="1105" t="str">
        <f>+'NO DELETE'!AK16</f>
        <v>ป้ายจราจรแบบ ต 65,ต 68, ต 70</v>
      </c>
      <c r="E66" s="1633"/>
      <c r="F66" s="1107" t="s">
        <v>38</v>
      </c>
      <c r="G66" s="1091">
        <f t="shared" si="6"/>
        <v>0</v>
      </c>
      <c r="H66" s="1091">
        <f t="shared" si="7"/>
        <v>0</v>
      </c>
      <c r="I66" s="1106">
        <f>ROUND(IF(E66&lt;=0,0,IF('NO DELETE'!$AH$35=1,'NO DELETE'!AL16,IF('NO DELETE'!$AH$35=2,'NO DELETE'!AM16,'NO DELETE'!AN16))),2)</f>
        <v>0</v>
      </c>
      <c r="J66" s="1092">
        <f t="shared" si="8"/>
        <v>0</v>
      </c>
      <c r="K66" s="1278">
        <f>IF(E66&gt;0,'NO DELETE'!$Q$18,)</f>
        <v>0</v>
      </c>
      <c r="L66" s="1094">
        <f t="shared" si="2"/>
        <v>0</v>
      </c>
      <c r="M66" s="1094">
        <f t="shared" si="9"/>
        <v>0</v>
      </c>
      <c r="N66" s="2666" t="str">
        <f>+VLOOKUP('NO DELETE'!$AH$35,'NO DELETE'!$AD$44:$AE$46,2)</f>
        <v>SIZE 2</v>
      </c>
      <c r="O66" s="2667"/>
    </row>
    <row r="67" spans="1:20" s="150" customFormat="1" ht="20.100000000000001" customHeight="1">
      <c r="A67" s="167"/>
      <c r="B67" s="156"/>
      <c r="C67" s="1110" t="s">
        <v>324</v>
      </c>
      <c r="D67" s="1105" t="str">
        <f>+'NO DELETE'!AK17</f>
        <v>ป้ายจราจรแบบ ต 69</v>
      </c>
      <c r="E67" s="1633"/>
      <c r="F67" s="1107" t="s">
        <v>38</v>
      </c>
      <c r="G67" s="1091">
        <f t="shared" si="6"/>
        <v>0</v>
      </c>
      <c r="H67" s="1091">
        <f t="shared" si="7"/>
        <v>0</v>
      </c>
      <c r="I67" s="1106">
        <f>ROUND(IF(E67&lt;=0,0,IF('NO DELETE'!$AH$35=1,'NO DELETE'!AL17,IF('NO DELETE'!$AH$35=2,'NO DELETE'!AM17,'NO DELETE'!AN17))),2)</f>
        <v>0</v>
      </c>
      <c r="J67" s="1092">
        <f t="shared" si="8"/>
        <v>0</v>
      </c>
      <c r="K67" s="1085">
        <f>IF(E67&gt;0,'NO DELETE'!$Q$18,)</f>
        <v>0</v>
      </c>
      <c r="L67" s="1094">
        <f t="shared" si="2"/>
        <v>0</v>
      </c>
      <c r="M67" s="1094">
        <f t="shared" si="9"/>
        <v>0</v>
      </c>
      <c r="N67" s="2666" t="str">
        <f>+VLOOKUP('NO DELETE'!$AH$35,'NO DELETE'!$AD$44:$AE$46,2)</f>
        <v>SIZE 2</v>
      </c>
      <c r="O67" s="2667"/>
    </row>
    <row r="68" spans="1:20" s="150" customFormat="1" ht="20.100000000000001" customHeight="1">
      <c r="A68" s="167"/>
      <c r="B68" s="156"/>
      <c r="C68" s="1110" t="s">
        <v>325</v>
      </c>
      <c r="D68" s="1105" t="str">
        <f>+'NO DELETE'!AK18</f>
        <v>ป้ายจราจรแบบ ต 71</v>
      </c>
      <c r="E68" s="1633"/>
      <c r="F68" s="1107" t="s">
        <v>38</v>
      </c>
      <c r="G68" s="1091">
        <f t="shared" ref="G68:G80" si="18">IF(E68&lt;=0,0,)</f>
        <v>0</v>
      </c>
      <c r="H68" s="1091">
        <f t="shared" ref="H68:H80" si="19">IF(E68&lt;=0,0,)</f>
        <v>0</v>
      </c>
      <c r="I68" s="1106">
        <f>ROUND(IF(E68&lt;=0,0,IF('NO DELETE'!$AH$35=1,'NO DELETE'!AL18,IF('NO DELETE'!$AH$35=2,'NO DELETE'!AM18,'NO DELETE'!AN18))),2)</f>
        <v>0</v>
      </c>
      <c r="J68" s="1092">
        <f t="shared" si="8"/>
        <v>0</v>
      </c>
      <c r="K68" s="1085">
        <f>IF(E68&gt;0,'NO DELETE'!$Q$18,)</f>
        <v>0</v>
      </c>
      <c r="L68" s="1094">
        <f t="shared" si="2"/>
        <v>0</v>
      </c>
      <c r="M68" s="1094">
        <f t="shared" si="9"/>
        <v>0</v>
      </c>
      <c r="N68" s="2666" t="str">
        <f>+VLOOKUP('NO DELETE'!$AH$35,'NO DELETE'!$AD$44:$AE$46,2)</f>
        <v>SIZE 2</v>
      </c>
      <c r="O68" s="2667"/>
    </row>
    <row r="69" spans="1:20" s="150" customFormat="1" ht="20.100000000000001" customHeight="1">
      <c r="A69" s="167"/>
      <c r="B69" s="156"/>
      <c r="C69" s="1110" t="s">
        <v>326</v>
      </c>
      <c r="D69" s="1105" t="str">
        <f>+'NO DELETE'!AK19</f>
        <v>ป้ายจราจรแบบ ต 72, ต 73</v>
      </c>
      <c r="E69" s="1633"/>
      <c r="F69" s="1107" t="s">
        <v>38</v>
      </c>
      <c r="G69" s="1091">
        <f t="shared" si="18"/>
        <v>0</v>
      </c>
      <c r="H69" s="1091">
        <f t="shared" si="19"/>
        <v>0</v>
      </c>
      <c r="I69" s="1106">
        <f>ROUND(IF(E69&lt;=0,0,IF('NO DELETE'!$AH$35=1,'NO DELETE'!AL19,IF('NO DELETE'!$AH$35=2,'NO DELETE'!AM19,'NO DELETE'!AN19))),2)</f>
        <v>0</v>
      </c>
      <c r="J69" s="1092">
        <f t="shared" si="8"/>
        <v>0</v>
      </c>
      <c r="K69" s="1085">
        <f>IF(E69&gt;0,'NO DELETE'!$Q$18,)</f>
        <v>0</v>
      </c>
      <c r="L69" s="1094">
        <f t="shared" si="2"/>
        <v>0</v>
      </c>
      <c r="M69" s="1094">
        <f t="shared" si="9"/>
        <v>0</v>
      </c>
      <c r="N69" s="2666" t="str">
        <f>+VLOOKUP('NO DELETE'!$AH$35,'NO DELETE'!$AD$44:$AE$46,2)</f>
        <v>SIZE 2</v>
      </c>
      <c r="O69" s="2667"/>
    </row>
    <row r="70" spans="1:20" s="150" customFormat="1" ht="20.100000000000001" customHeight="1">
      <c r="A70" s="167"/>
      <c r="B70" s="156"/>
      <c r="C70" s="1110" t="s">
        <v>327</v>
      </c>
      <c r="D70" s="1105" t="str">
        <f>+'NO DELETE'!AK20</f>
        <v>ป้ายจราจรแบบ ต 74</v>
      </c>
      <c r="E70" s="1633"/>
      <c r="F70" s="1107" t="s">
        <v>38</v>
      </c>
      <c r="G70" s="1091">
        <f t="shared" si="18"/>
        <v>0</v>
      </c>
      <c r="H70" s="1091">
        <f t="shared" si="19"/>
        <v>0</v>
      </c>
      <c r="I70" s="1106">
        <f>ROUND(IF(E70&lt;=0,0,IF('NO DELETE'!$AH$35=1,'NO DELETE'!AL20,IF('NO DELETE'!$AH$35=2,'NO DELETE'!AM20,'NO DELETE'!AN20))),2)</f>
        <v>0</v>
      </c>
      <c r="J70" s="1092">
        <f t="shared" si="8"/>
        <v>0</v>
      </c>
      <c r="K70" s="1085">
        <f>IF(E70&gt;0,'NO DELETE'!$Q$18,)</f>
        <v>0</v>
      </c>
      <c r="L70" s="1094">
        <f t="shared" ref="L70:L85" si="20">ROUND(K70*I70,1)</f>
        <v>0</v>
      </c>
      <c r="M70" s="1094">
        <f t="shared" si="9"/>
        <v>0</v>
      </c>
      <c r="N70" s="2666" t="str">
        <f>+VLOOKUP('NO DELETE'!$AH$35,'NO DELETE'!$AD$44:$AE$46,2)</f>
        <v>SIZE 2</v>
      </c>
      <c r="O70" s="2667"/>
    </row>
    <row r="71" spans="1:20" s="150" customFormat="1" ht="20.100000000000001" customHeight="1">
      <c r="A71" s="167"/>
      <c r="B71" s="156"/>
      <c r="C71" s="1110" t="s">
        <v>328</v>
      </c>
      <c r="D71" s="1105" t="str">
        <f>+'NO DELETE'!AK21</f>
        <v>ป้ายจราจรแบบ ต 74/1</v>
      </c>
      <c r="E71" s="1633"/>
      <c r="F71" s="1107" t="s">
        <v>38</v>
      </c>
      <c r="G71" s="1091">
        <f t="shared" si="18"/>
        <v>0</v>
      </c>
      <c r="H71" s="1091">
        <f t="shared" si="19"/>
        <v>0</v>
      </c>
      <c r="I71" s="1106">
        <f>ROUND(IF(E71&lt;=0,0,IF('NO DELETE'!$AH$35=1,'NO DELETE'!AL21,IF('NO DELETE'!$AH$35=2,'NO DELETE'!AM21,'NO DELETE'!AN21))),2)</f>
        <v>0</v>
      </c>
      <c r="J71" s="1092">
        <f t="shared" si="8"/>
        <v>0</v>
      </c>
      <c r="K71" s="1093">
        <f>IF(E71&gt;0,'NO DELETE'!$Q$18,)</f>
        <v>0</v>
      </c>
      <c r="L71" s="1094">
        <f t="shared" si="20"/>
        <v>0</v>
      </c>
      <c r="M71" s="1094">
        <f t="shared" si="9"/>
        <v>0</v>
      </c>
      <c r="N71" s="2666" t="str">
        <f>+VLOOKUP('NO DELETE'!$AH$35,'NO DELETE'!$AD$44:$AE$46,2)</f>
        <v>SIZE 2</v>
      </c>
      <c r="O71" s="2667"/>
      <c r="Q71" s="2138"/>
    </row>
    <row r="72" spans="1:20" s="150" customFormat="1" ht="20.100000000000001" customHeight="1">
      <c r="A72" s="167"/>
      <c r="B72" s="156"/>
      <c r="C72" s="1110" t="s">
        <v>329</v>
      </c>
      <c r="D72" s="1105" t="str">
        <f>+'NO DELETE'!AK22</f>
        <v>ป้ายจราจรแบบ ต 76</v>
      </c>
      <c r="E72" s="1633"/>
      <c r="F72" s="1107" t="s">
        <v>38</v>
      </c>
      <c r="G72" s="1091">
        <f t="shared" si="18"/>
        <v>0</v>
      </c>
      <c r="H72" s="1091">
        <f t="shared" si="19"/>
        <v>0</v>
      </c>
      <c r="I72" s="1106">
        <f>ROUND(IF(E72&lt;=0,0,IF('NO DELETE'!$AH$35=1,'NO DELETE'!AL22,IF('NO DELETE'!$AH$35=2,'NO DELETE'!AM22,'NO DELETE'!AN22))),2)</f>
        <v>0</v>
      </c>
      <c r="J72" s="1092">
        <f t="shared" si="8"/>
        <v>0</v>
      </c>
      <c r="K72" s="1093">
        <f>IF(E72&gt;0,'NO DELETE'!$Q$18,)</f>
        <v>0</v>
      </c>
      <c r="L72" s="1094">
        <f t="shared" si="20"/>
        <v>0</v>
      </c>
      <c r="M72" s="1094">
        <f t="shared" si="9"/>
        <v>0</v>
      </c>
      <c r="N72" s="2666" t="str">
        <f>+VLOOKUP('NO DELETE'!$AH$35,'NO DELETE'!$AD$44:$AE$46,2)</f>
        <v>SIZE 2</v>
      </c>
      <c r="O72" s="2667"/>
      <c r="Q72" s="2138"/>
    </row>
    <row r="73" spans="1:20" s="150" customFormat="1" ht="20.100000000000001" customHeight="1">
      <c r="A73" s="167"/>
      <c r="B73" s="156"/>
      <c r="C73" s="1110" t="s">
        <v>330</v>
      </c>
      <c r="D73" s="1105" t="str">
        <f>+'NO DELETE'!AK23</f>
        <v>ป้ายจราจรแบบ ต 76/1</v>
      </c>
      <c r="E73" s="1633"/>
      <c r="F73" s="1107" t="s">
        <v>38</v>
      </c>
      <c r="G73" s="1091">
        <f t="shared" si="18"/>
        <v>0</v>
      </c>
      <c r="H73" s="1091">
        <f t="shared" si="19"/>
        <v>0</v>
      </c>
      <c r="I73" s="1106">
        <f>ROUND(IF(E73&lt;=0,0,IF('NO DELETE'!$AH$35=1,'NO DELETE'!AL23,IF('NO DELETE'!$AH$35=2,'NO DELETE'!AM23,'NO DELETE'!AN23))),2)</f>
        <v>0</v>
      </c>
      <c r="J73" s="1092">
        <f t="shared" si="8"/>
        <v>0</v>
      </c>
      <c r="K73" s="1093">
        <f>IF(E73&gt;0,'NO DELETE'!$Q$18,)</f>
        <v>0</v>
      </c>
      <c r="L73" s="1094">
        <f t="shared" si="20"/>
        <v>0</v>
      </c>
      <c r="M73" s="1094">
        <f t="shared" si="9"/>
        <v>0</v>
      </c>
      <c r="N73" s="2666" t="str">
        <f>+VLOOKUP('NO DELETE'!$AH$35,'NO DELETE'!$AD$44:$AE$46,2)</f>
        <v>SIZE 2</v>
      </c>
      <c r="O73" s="2667"/>
      <c r="Q73" s="2138"/>
    </row>
    <row r="74" spans="1:20" s="150" customFormat="1" ht="20.100000000000001" customHeight="1">
      <c r="A74" s="167"/>
      <c r="B74" s="156"/>
      <c r="C74" s="1110" t="s">
        <v>331</v>
      </c>
      <c r="D74" s="1105" t="str">
        <f>+'NO DELETE'!AK24</f>
        <v>ป้ายจราจรแบบ ต 77</v>
      </c>
      <c r="E74" s="1633"/>
      <c r="F74" s="1107" t="s">
        <v>38</v>
      </c>
      <c r="G74" s="1091">
        <f t="shared" si="18"/>
        <v>0</v>
      </c>
      <c r="H74" s="1091">
        <f t="shared" si="19"/>
        <v>0</v>
      </c>
      <c r="I74" s="1106">
        <f>ROUND(IF(E74&lt;=0,0,IF('NO DELETE'!$AH$35=1,'NO DELETE'!AL24,IF('NO DELETE'!$AH$35=2,'NO DELETE'!AM24,'NO DELETE'!AN24))),2)</f>
        <v>0</v>
      </c>
      <c r="J74" s="1092">
        <f t="shared" ref="J74:J85" si="21">E74*I74</f>
        <v>0</v>
      </c>
      <c r="K74" s="1093">
        <f>IF(E74&gt;0,'NO DELETE'!$Q$18,)</f>
        <v>0</v>
      </c>
      <c r="L74" s="1094">
        <f t="shared" si="20"/>
        <v>0</v>
      </c>
      <c r="M74" s="1094">
        <f t="shared" ref="M74:M85" si="22">L74*E74</f>
        <v>0</v>
      </c>
      <c r="N74" s="2666" t="str">
        <f>+VLOOKUP('NO DELETE'!$AH$35,'NO DELETE'!$AD$44:$AE$46,2)</f>
        <v>SIZE 2</v>
      </c>
      <c r="O74" s="2667"/>
      <c r="Q74" s="2138"/>
    </row>
    <row r="75" spans="1:20" s="150" customFormat="1" ht="20.100000000000001" customHeight="1">
      <c r="A75" s="167"/>
      <c r="B75" s="156"/>
      <c r="C75" s="1110" t="s">
        <v>332</v>
      </c>
      <c r="D75" s="1105" t="str">
        <f>+'NO DELETE'!AK25</f>
        <v>ป้ายจราจรแบบ ต 77/1</v>
      </c>
      <c r="E75" s="1633"/>
      <c r="F75" s="1107" t="s">
        <v>38</v>
      </c>
      <c r="G75" s="1091">
        <f t="shared" si="18"/>
        <v>0</v>
      </c>
      <c r="H75" s="1091">
        <f t="shared" si="19"/>
        <v>0</v>
      </c>
      <c r="I75" s="1106">
        <f>ROUND(IF(E75&lt;=0,0,IF('NO DELETE'!$AH$35=1,'NO DELETE'!AL25,IF('NO DELETE'!$AH$35=2,'NO DELETE'!AM25,'NO DELETE'!AN25))),2)</f>
        <v>0</v>
      </c>
      <c r="J75" s="1092">
        <f t="shared" si="21"/>
        <v>0</v>
      </c>
      <c r="K75" s="1093">
        <f>IF(E75&gt;0,'NO DELETE'!$Q$18,)</f>
        <v>0</v>
      </c>
      <c r="L75" s="1094">
        <f t="shared" si="20"/>
        <v>0</v>
      </c>
      <c r="M75" s="1094">
        <f t="shared" si="22"/>
        <v>0</v>
      </c>
      <c r="N75" s="2666" t="str">
        <f>+VLOOKUP('NO DELETE'!$AH$35,'NO DELETE'!$AD$44:$AE$46,2)</f>
        <v>SIZE 2</v>
      </c>
      <c r="O75" s="2667"/>
      <c r="Q75" s="2138"/>
    </row>
    <row r="76" spans="1:20" s="150" customFormat="1" ht="20.100000000000001" customHeight="1">
      <c r="A76" s="167"/>
      <c r="B76" s="156"/>
      <c r="C76" s="1110" t="s">
        <v>333</v>
      </c>
      <c r="D76" s="1105" t="str">
        <f>+'NO DELETE'!AK26</f>
        <v>ป้ายจราจรแบบ ต 78</v>
      </c>
      <c r="E76" s="1633"/>
      <c r="F76" s="1107" t="s">
        <v>38</v>
      </c>
      <c r="G76" s="1091">
        <f t="shared" si="18"/>
        <v>0</v>
      </c>
      <c r="H76" s="1091">
        <f t="shared" si="19"/>
        <v>0</v>
      </c>
      <c r="I76" s="1106">
        <f>ROUND(IF(E76&lt;=0,0,IF('NO DELETE'!$AH$35=1,'NO DELETE'!AL26,IF('NO DELETE'!$AH$35=2,'NO DELETE'!AM26,'NO DELETE'!AN26))),2)</f>
        <v>0</v>
      </c>
      <c r="J76" s="1092">
        <f t="shared" si="21"/>
        <v>0</v>
      </c>
      <c r="K76" s="1093">
        <f>IF(E76&gt;0,'NO DELETE'!$Q$18,)</f>
        <v>0</v>
      </c>
      <c r="L76" s="1094">
        <f t="shared" si="20"/>
        <v>0</v>
      </c>
      <c r="M76" s="1094">
        <f t="shared" si="22"/>
        <v>0</v>
      </c>
      <c r="N76" s="2666" t="str">
        <f>+VLOOKUP('NO DELETE'!$AH$35,'NO DELETE'!$AD$44:$AE$46,2)</f>
        <v>SIZE 2</v>
      </c>
      <c r="O76" s="2667"/>
      <c r="Q76" s="2138"/>
    </row>
    <row r="77" spans="1:20" s="150" customFormat="1" ht="20.100000000000001" customHeight="1">
      <c r="A77" s="167"/>
      <c r="B77" s="156"/>
      <c r="C77" s="1110" t="s">
        <v>334</v>
      </c>
      <c r="D77" s="1105" t="str">
        <f>+'NO DELETE'!AK27</f>
        <v>ป้ายจราจรแบบ น 1</v>
      </c>
      <c r="E77" s="1633"/>
      <c r="F77" s="1107" t="s">
        <v>38</v>
      </c>
      <c r="G77" s="1091">
        <f t="shared" si="18"/>
        <v>0</v>
      </c>
      <c r="H77" s="1091">
        <f t="shared" si="19"/>
        <v>0</v>
      </c>
      <c r="I77" s="1106">
        <f>ROUND(IF(E77&lt;=0,0,IF('NO DELETE'!$AH$35=1,'NO DELETE'!AL27,IF('NO DELETE'!$AH$35=2,'NO DELETE'!AM27,'NO DELETE'!AN27))),2)</f>
        <v>0</v>
      </c>
      <c r="J77" s="1092">
        <f t="shared" si="21"/>
        <v>0</v>
      </c>
      <c r="K77" s="1093">
        <f>IF(E77&gt;0,'NO DELETE'!$Q$18,)</f>
        <v>0</v>
      </c>
      <c r="L77" s="1094">
        <f t="shared" si="20"/>
        <v>0</v>
      </c>
      <c r="M77" s="1094">
        <f t="shared" si="22"/>
        <v>0</v>
      </c>
      <c r="N77" s="2666" t="str">
        <f>+VLOOKUP('NO DELETE'!$AH$35,'NO DELETE'!$AD$44:$AE$46,2)</f>
        <v>SIZE 2</v>
      </c>
      <c r="O77" s="2667"/>
      <c r="Q77" s="2138"/>
    </row>
    <row r="78" spans="1:20" s="150" customFormat="1" ht="20.100000000000001" customHeight="1">
      <c r="A78" s="167"/>
      <c r="B78" s="156"/>
      <c r="C78" s="1110" t="s">
        <v>335</v>
      </c>
      <c r="D78" s="1105" t="str">
        <f>+'NO DELETE'!AK28</f>
        <v>ป้ายจราจรแบบ น 1/1</v>
      </c>
      <c r="E78" s="1633"/>
      <c r="F78" s="1107" t="s">
        <v>38</v>
      </c>
      <c r="G78" s="1091">
        <f t="shared" si="18"/>
        <v>0</v>
      </c>
      <c r="H78" s="1091">
        <f t="shared" si="19"/>
        <v>0</v>
      </c>
      <c r="I78" s="1106">
        <f>ROUND(IF(E78&lt;=0,0,IF('NO DELETE'!$AH$35=1,'NO DELETE'!AL28,IF('NO DELETE'!$AH$35=2,'NO DELETE'!AM28,'NO DELETE'!AN28))),2)</f>
        <v>0</v>
      </c>
      <c r="J78" s="1092">
        <f t="shared" si="21"/>
        <v>0</v>
      </c>
      <c r="K78" s="1093">
        <f>IF(E78&gt;0,'NO DELETE'!$Q$18,)</f>
        <v>0</v>
      </c>
      <c r="L78" s="1094">
        <f t="shared" si="20"/>
        <v>0</v>
      </c>
      <c r="M78" s="1094">
        <f t="shared" si="22"/>
        <v>0</v>
      </c>
      <c r="N78" s="2666" t="str">
        <f>+VLOOKUP('NO DELETE'!$AH$35,'NO DELETE'!$AD$44:$AE$46,2)</f>
        <v>SIZE 2</v>
      </c>
      <c r="O78" s="2667"/>
      <c r="Q78" s="2138"/>
    </row>
    <row r="79" spans="1:20" s="150" customFormat="1" ht="20.100000000000001" customHeight="1">
      <c r="A79" s="167"/>
      <c r="B79" s="156"/>
      <c r="C79" s="1110" t="s">
        <v>336</v>
      </c>
      <c r="D79" s="1105" t="str">
        <f>+'NO DELETE'!AK29</f>
        <v>ป้ายจราจรแบบ น 2 ( 1 ชิ้น)</v>
      </c>
      <c r="E79" s="1633"/>
      <c r="F79" s="1107" t="s">
        <v>38</v>
      </c>
      <c r="G79" s="1091">
        <f t="shared" si="18"/>
        <v>0</v>
      </c>
      <c r="H79" s="1091">
        <f t="shared" si="19"/>
        <v>0</v>
      </c>
      <c r="I79" s="1106">
        <f>ROUND(IF(E79&lt;=0,0,IF('NO DELETE'!$AH$35=1,'NO DELETE'!AL29,IF('NO DELETE'!$AH$35=2,'NO DELETE'!AM29,'NO DELETE'!AN29))),2)</f>
        <v>0</v>
      </c>
      <c r="J79" s="1092">
        <f t="shared" si="21"/>
        <v>0</v>
      </c>
      <c r="K79" s="1093">
        <f>IF(E79&gt;0,'NO DELETE'!$Q$18,)</f>
        <v>0</v>
      </c>
      <c r="L79" s="1094">
        <f t="shared" si="20"/>
        <v>0</v>
      </c>
      <c r="M79" s="1094">
        <f t="shared" si="22"/>
        <v>0</v>
      </c>
      <c r="N79" s="2666" t="str">
        <f>+VLOOKUP('NO DELETE'!$AH$35,'NO DELETE'!$AD$44:$AE$46,2)</f>
        <v>SIZE 2</v>
      </c>
      <c r="O79" s="2667"/>
      <c r="Q79" s="2138"/>
    </row>
    <row r="80" spans="1:20" s="150" customFormat="1" ht="20.100000000000001" customHeight="1">
      <c r="A80" s="167"/>
      <c r="B80" s="156"/>
      <c r="C80" s="1110" t="s">
        <v>337</v>
      </c>
      <c r="D80" s="1105" t="str">
        <f>+'NO DELETE'!AK30</f>
        <v>ป้ายจราจรแบบ น 2 ( 2 ชิ้น)</v>
      </c>
      <c r="E80" s="1633"/>
      <c r="F80" s="1107" t="s">
        <v>38</v>
      </c>
      <c r="G80" s="1091">
        <f t="shared" si="18"/>
        <v>0</v>
      </c>
      <c r="H80" s="1091">
        <f t="shared" si="19"/>
        <v>0</v>
      </c>
      <c r="I80" s="1106">
        <f>ROUND(IF(E80&lt;=0,0,IF('NO DELETE'!$AH$35=1,'NO DELETE'!AL30,IF('NO DELETE'!$AH$35=2,'NO DELETE'!AM30,'NO DELETE'!AN30))),2)</f>
        <v>0</v>
      </c>
      <c r="J80" s="1092">
        <f t="shared" si="21"/>
        <v>0</v>
      </c>
      <c r="K80" s="1093">
        <f>IF(E80&gt;0,'NO DELETE'!$Q$18,)</f>
        <v>0</v>
      </c>
      <c r="L80" s="1094">
        <f t="shared" si="20"/>
        <v>0</v>
      </c>
      <c r="M80" s="1094">
        <f t="shared" si="22"/>
        <v>0</v>
      </c>
      <c r="N80" s="2666" t="str">
        <f>+VLOOKUP('NO DELETE'!$AH$35,'NO DELETE'!$AD$44:$AE$46,2)</f>
        <v>SIZE 2</v>
      </c>
      <c r="O80" s="2667"/>
      <c r="Q80" s="2138"/>
    </row>
    <row r="81" spans="1:17" s="150" customFormat="1" ht="20.100000000000001" customHeight="1">
      <c r="A81" s="167"/>
      <c r="B81" s="156"/>
      <c r="C81" s="1110" t="s">
        <v>338</v>
      </c>
      <c r="D81" s="1105" t="str">
        <f>+'NO DELETE'!AK32</f>
        <v>ป้ายจราจรแบบ น 2 ( 3 ชิ้น)</v>
      </c>
      <c r="E81" s="1633"/>
      <c r="F81" s="1120" t="s">
        <v>38</v>
      </c>
      <c r="G81" s="1121">
        <f t="shared" ref="G81:G84" si="23">IF(E81&lt;=0,0,)</f>
        <v>0</v>
      </c>
      <c r="H81" s="1121">
        <f t="shared" ref="H81:H84" si="24">IF(E81&lt;=0,0,)</f>
        <v>0</v>
      </c>
      <c r="I81" s="1106">
        <f>ROUND(IF(E81&lt;=0,0,IF('NO DELETE'!$AH$35=1,'NO DELETE'!AL32,IF('NO DELETE'!$AH$35=2,'NO DELETE'!AM32,'NO DELETE'!AN32))),2)</f>
        <v>0</v>
      </c>
      <c r="J81" s="1122">
        <f t="shared" si="21"/>
        <v>0</v>
      </c>
      <c r="K81" s="1093">
        <f>IF(E81&gt;0,'NO DELETE'!$Q$18,)</f>
        <v>0</v>
      </c>
      <c r="L81" s="1122">
        <f t="shared" si="20"/>
        <v>0</v>
      </c>
      <c r="M81" s="1122">
        <f t="shared" si="22"/>
        <v>0</v>
      </c>
      <c r="N81" s="2666" t="str">
        <f>+VLOOKUP('NO DELETE'!$AH$35,'NO DELETE'!$AD$44:$AE$46,2)</f>
        <v>SIZE 2</v>
      </c>
      <c r="O81" s="2667"/>
      <c r="Q81" s="2138"/>
    </row>
    <row r="82" spans="1:17" s="150" customFormat="1" ht="20.100000000000001" customHeight="1">
      <c r="A82" s="167"/>
      <c r="B82" s="156"/>
      <c r="C82" s="1110" t="s">
        <v>339</v>
      </c>
      <c r="D82" s="1105" t="str">
        <f>+'NO DELETE'!AK33</f>
        <v>ป้ายจราจรแบบ น 2 ( 4 ชิ้น)</v>
      </c>
      <c r="E82" s="1633"/>
      <c r="F82" s="1120" t="s">
        <v>38</v>
      </c>
      <c r="G82" s="1121">
        <f t="shared" si="23"/>
        <v>0</v>
      </c>
      <c r="H82" s="1121">
        <f t="shared" si="24"/>
        <v>0</v>
      </c>
      <c r="I82" s="1106">
        <f>ROUND(IF(E82&lt;=0,0,IF('NO DELETE'!$AH$35=1,'NO DELETE'!AL33,IF('NO DELETE'!$AH$35=2,'NO DELETE'!AM33,'NO DELETE'!AN33))),2)</f>
        <v>0</v>
      </c>
      <c r="J82" s="1122">
        <f t="shared" si="21"/>
        <v>0</v>
      </c>
      <c r="K82" s="1093">
        <f>IF(E82&gt;0,'NO DELETE'!$Q$18,)</f>
        <v>0</v>
      </c>
      <c r="L82" s="1122">
        <f t="shared" si="20"/>
        <v>0</v>
      </c>
      <c r="M82" s="1122">
        <f t="shared" si="22"/>
        <v>0</v>
      </c>
      <c r="N82" s="2666" t="str">
        <f>+VLOOKUP('NO DELETE'!$AH$35,'NO DELETE'!$AD$44:$AE$46,2)</f>
        <v>SIZE 2</v>
      </c>
      <c r="O82" s="2667"/>
      <c r="Q82" s="2138"/>
    </row>
    <row r="83" spans="1:17" s="150" customFormat="1" ht="20.100000000000001" customHeight="1">
      <c r="A83" s="167"/>
      <c r="B83" s="156"/>
      <c r="C83" s="1110" t="s">
        <v>340</v>
      </c>
      <c r="D83" s="1105" t="str">
        <f>+'NO DELETE'!AK34</f>
        <v>ป้ายจราจรแบบ น 3 ( 1 ชิ้น)</v>
      </c>
      <c r="E83" s="1633"/>
      <c r="F83" s="1120" t="s">
        <v>38</v>
      </c>
      <c r="G83" s="1121">
        <f t="shared" si="23"/>
        <v>0</v>
      </c>
      <c r="H83" s="1121">
        <f t="shared" si="24"/>
        <v>0</v>
      </c>
      <c r="I83" s="1106">
        <f>ROUND(IF(E83&lt;=0,0,IF('NO DELETE'!$AH$35=1,'NO DELETE'!AL34,IF('NO DELETE'!$AH$35=2,'NO DELETE'!AM34,'NO DELETE'!AN34))),2)</f>
        <v>0</v>
      </c>
      <c r="J83" s="1122">
        <f t="shared" si="21"/>
        <v>0</v>
      </c>
      <c r="K83" s="1093">
        <f>IF(E83&gt;0,'NO DELETE'!$Q$18,)</f>
        <v>0</v>
      </c>
      <c r="L83" s="1122">
        <f t="shared" si="20"/>
        <v>0</v>
      </c>
      <c r="M83" s="1122">
        <f t="shared" si="22"/>
        <v>0</v>
      </c>
      <c r="N83" s="2666" t="str">
        <f>+VLOOKUP('NO DELETE'!$AH$35,'NO DELETE'!$AD$44:$AE$46,2)</f>
        <v>SIZE 2</v>
      </c>
      <c r="O83" s="2667"/>
      <c r="Q83" s="2138"/>
    </row>
    <row r="84" spans="1:17" s="150" customFormat="1" ht="20.100000000000001" customHeight="1">
      <c r="A84" s="167"/>
      <c r="B84" s="156"/>
      <c r="C84" s="1110" t="s">
        <v>341</v>
      </c>
      <c r="D84" s="1105" t="str">
        <f>+'NO DELETE'!AK35</f>
        <v>ป้ายจราจรแบบ น 3 ( 2 ชิ้น)</v>
      </c>
      <c r="E84" s="1633"/>
      <c r="F84" s="1120" t="s">
        <v>38</v>
      </c>
      <c r="G84" s="1121">
        <f t="shared" si="23"/>
        <v>0</v>
      </c>
      <c r="H84" s="1121">
        <f t="shared" si="24"/>
        <v>0</v>
      </c>
      <c r="I84" s="1106">
        <f>ROUND(IF(E84&lt;=0,0,IF('NO DELETE'!$AH$35=1,'NO DELETE'!AL35,IF('NO DELETE'!$AH$35=2,'NO DELETE'!AM35,'NO DELETE'!AN35))),2)</f>
        <v>0</v>
      </c>
      <c r="J84" s="1122">
        <f t="shared" si="21"/>
        <v>0</v>
      </c>
      <c r="K84" s="1093">
        <f>IF(E84&gt;0,'NO DELETE'!$Q$18,)</f>
        <v>0</v>
      </c>
      <c r="L84" s="1122">
        <f t="shared" si="20"/>
        <v>0</v>
      </c>
      <c r="M84" s="1122">
        <f t="shared" si="22"/>
        <v>0</v>
      </c>
      <c r="N84" s="2666" t="str">
        <f>+VLOOKUP('NO DELETE'!$AH$35,'NO DELETE'!$AD$44:$AE$46,2)</f>
        <v>SIZE 2</v>
      </c>
      <c r="O84" s="2667"/>
      <c r="Q84" s="2138"/>
    </row>
    <row r="85" spans="1:17" s="150" customFormat="1" ht="20.100000000000001" customHeight="1">
      <c r="A85" s="167"/>
      <c r="B85" s="156"/>
      <c r="C85" s="1110" t="s">
        <v>342</v>
      </c>
      <c r="D85" s="1105" t="str">
        <f>+'NO DELETE'!AK36</f>
        <v>ป้ายจราจรแบบ น 3 ( 3 ชิ้น)</v>
      </c>
      <c r="E85" s="1633"/>
      <c r="F85" s="1120" t="s">
        <v>38</v>
      </c>
      <c r="G85" s="1121">
        <f>IF(E85&lt;=0,0,)</f>
        <v>0</v>
      </c>
      <c r="H85" s="1121">
        <f>IF(E85&lt;=0,0,)</f>
        <v>0</v>
      </c>
      <c r="I85" s="1106">
        <f>ROUND(IF(E85&lt;=0,0,IF('NO DELETE'!$AH$35=1,'NO DELETE'!AL36,IF('NO DELETE'!$AH$35=2,'NO DELETE'!AM36,'NO DELETE'!AN36))),2)</f>
        <v>0</v>
      </c>
      <c r="J85" s="1122">
        <f t="shared" si="21"/>
        <v>0</v>
      </c>
      <c r="K85" s="1093">
        <f>IF(E85&gt;0,'NO DELETE'!$Q$18,)</f>
        <v>0</v>
      </c>
      <c r="L85" s="1122">
        <f t="shared" si="20"/>
        <v>0</v>
      </c>
      <c r="M85" s="1122">
        <f t="shared" si="22"/>
        <v>0</v>
      </c>
      <c r="N85" s="2666" t="str">
        <f>+VLOOKUP('NO DELETE'!$AH$35,'NO DELETE'!$AD$44:$AE$46,2)</f>
        <v>SIZE 2</v>
      </c>
      <c r="O85" s="2667"/>
      <c r="Q85" s="2138"/>
    </row>
    <row r="86" spans="1:17" s="150" customFormat="1" ht="20.100000000000001" customHeight="1">
      <c r="A86" s="167"/>
      <c r="B86" s="156"/>
      <c r="C86" s="1110" t="s">
        <v>343</v>
      </c>
      <c r="D86" s="1105" t="str">
        <f>+'NO DELETE'!AK37</f>
        <v>ป้ายจราจรแบบ น 4</v>
      </c>
      <c r="E86" s="1633"/>
      <c r="F86" s="1120" t="s">
        <v>38</v>
      </c>
      <c r="G86" s="1121">
        <f>IF(E86&lt;=0,0,)</f>
        <v>0</v>
      </c>
      <c r="H86" s="1121">
        <f>IF(E86&lt;=0,0,)</f>
        <v>0</v>
      </c>
      <c r="I86" s="1106">
        <f>ROUND(IF(E86&lt;=0,0,IF('NO DELETE'!$AH$35=1,'NO DELETE'!AL37,IF('NO DELETE'!$AH$35=2,'NO DELETE'!AM37,'NO DELETE'!AN37))),2)</f>
        <v>0</v>
      </c>
      <c r="J86" s="1122">
        <f t="shared" ref="J86:J95" si="25">E86*I86</f>
        <v>0</v>
      </c>
      <c r="K86" s="1093">
        <f>IF(E86&gt;0,'NO DELETE'!$Q$18,)</f>
        <v>0</v>
      </c>
      <c r="L86" s="1122">
        <f t="shared" ref="L86:L92" si="26">ROUND(K86*I86,1)</f>
        <v>0</v>
      </c>
      <c r="M86" s="1122">
        <f t="shared" ref="M86:M92" si="27">L86*E86</f>
        <v>0</v>
      </c>
      <c r="N86" s="2666" t="str">
        <f>+VLOOKUP('NO DELETE'!$AH$35,'NO DELETE'!$AD$44:$AE$46,2)</f>
        <v>SIZE 2</v>
      </c>
      <c r="O86" s="2667"/>
      <c r="Q86" s="2138"/>
    </row>
    <row r="87" spans="1:17" s="150" customFormat="1" ht="20.100000000000001" customHeight="1">
      <c r="A87" s="167"/>
      <c r="B87" s="156"/>
      <c r="C87" s="1110" t="s">
        <v>344</v>
      </c>
      <c r="D87" s="1105" t="str">
        <f>+'NO DELETE'!AK38</f>
        <v>ป้ายจราจรแบบ น 5</v>
      </c>
      <c r="E87" s="1633"/>
      <c r="F87" s="1120" t="s">
        <v>38</v>
      </c>
      <c r="G87" s="1121">
        <f>IF(E87&lt;=0,0,)</f>
        <v>0</v>
      </c>
      <c r="H87" s="1121">
        <f>IF(E87&lt;=0,0,)</f>
        <v>0</v>
      </c>
      <c r="I87" s="1106">
        <f>ROUND(IF(E87&lt;=0,0,IF('NO DELETE'!$AH$35=1,'NO DELETE'!AL38,IF('NO DELETE'!$AH$35=2,'NO DELETE'!AM38,'NO DELETE'!AN38))),2)</f>
        <v>0</v>
      </c>
      <c r="J87" s="1122">
        <f t="shared" si="25"/>
        <v>0</v>
      </c>
      <c r="K87" s="1093">
        <f>IF(E87&gt;0,'NO DELETE'!$Q$18,)</f>
        <v>0</v>
      </c>
      <c r="L87" s="1122">
        <f t="shared" si="26"/>
        <v>0</v>
      </c>
      <c r="M87" s="1122">
        <f t="shared" si="27"/>
        <v>0</v>
      </c>
      <c r="N87" s="2666" t="str">
        <f>+VLOOKUP('NO DELETE'!$AH$35,'NO DELETE'!$AD$44:$AE$46,2)</f>
        <v>SIZE 2</v>
      </c>
      <c r="O87" s="2667"/>
      <c r="Q87" s="2138"/>
    </row>
    <row r="88" spans="1:17" s="150" customFormat="1" ht="20.100000000000001" customHeight="1">
      <c r="A88" s="167"/>
      <c r="B88" s="156"/>
      <c r="C88" s="1110" t="s">
        <v>346</v>
      </c>
      <c r="D88" s="1105" t="str">
        <f>+'NO DELETE'!AK39</f>
        <v>ป้ายจราจรแบบ น 6</v>
      </c>
      <c r="E88" s="1633"/>
      <c r="F88" s="1120" t="s">
        <v>38</v>
      </c>
      <c r="G88" s="1121">
        <f>IF(E88&lt;=0,0,)</f>
        <v>0</v>
      </c>
      <c r="H88" s="1121">
        <f>IF(E88&lt;=0,0,)</f>
        <v>0</v>
      </c>
      <c r="I88" s="1106">
        <f>ROUND(IF(E88&lt;=0,0,IF('NO DELETE'!$AH$35=1,'NO DELETE'!AL39,IF('NO DELETE'!$AH$35=2,'NO DELETE'!AM39,'NO DELETE'!AN39))),2)</f>
        <v>0</v>
      </c>
      <c r="J88" s="1122">
        <f t="shared" si="25"/>
        <v>0</v>
      </c>
      <c r="K88" s="1085">
        <f>IF(E88&gt;0,'NO DELETE'!$Q$18,)</f>
        <v>0</v>
      </c>
      <c r="L88" s="1122">
        <f t="shared" si="26"/>
        <v>0</v>
      </c>
      <c r="M88" s="1122">
        <f t="shared" si="27"/>
        <v>0</v>
      </c>
      <c r="N88" s="2666" t="str">
        <f>+VLOOKUP('NO DELETE'!$AH$35,'NO DELETE'!$AD$44:$AE$46,2)</f>
        <v>SIZE 2</v>
      </c>
      <c r="O88" s="2667"/>
      <c r="Q88" s="2138"/>
    </row>
    <row r="89" spans="1:17" s="150" customFormat="1" ht="20.100000000000001" customHeight="1">
      <c r="A89" s="167"/>
      <c r="B89" s="156"/>
      <c r="C89" s="1110" t="s">
        <v>348</v>
      </c>
      <c r="D89" s="1105" t="str">
        <f>+'NO DELETE'!AK40</f>
        <v>ป้ายจราจรแบบ น 7</v>
      </c>
      <c r="E89" s="1633"/>
      <c r="F89" s="1107" t="s">
        <v>38</v>
      </c>
      <c r="G89" s="1121">
        <f>IF(E89&lt;=0,0,)</f>
        <v>0</v>
      </c>
      <c r="H89" s="1121">
        <f>IF(E89&lt;=0,0,)</f>
        <v>0</v>
      </c>
      <c r="I89" s="1106">
        <f>ROUND(IF(E89&lt;=0,0,IF('NO DELETE'!$AH$35=1,'NO DELETE'!AL40,IF('NO DELETE'!$AH$35=2,'NO DELETE'!AM40,'NO DELETE'!AN40))),2)</f>
        <v>0</v>
      </c>
      <c r="J89" s="1122">
        <f t="shared" si="25"/>
        <v>0</v>
      </c>
      <c r="K89" s="1085">
        <f>IF(E89&gt;0,'NO DELETE'!$Q$18,)</f>
        <v>0</v>
      </c>
      <c r="L89" s="1122">
        <f t="shared" si="26"/>
        <v>0</v>
      </c>
      <c r="M89" s="1122">
        <f t="shared" si="27"/>
        <v>0</v>
      </c>
      <c r="N89" s="2666" t="str">
        <f>+VLOOKUP('NO DELETE'!$AH$35,'NO DELETE'!$AD$44:$AE$46,2)</f>
        <v>SIZE 2</v>
      </c>
      <c r="O89" s="2667"/>
      <c r="Q89" s="2138"/>
    </row>
    <row r="90" spans="1:17" s="150" customFormat="1" ht="20.100000000000001" customHeight="1">
      <c r="A90" s="167"/>
      <c r="B90" s="156"/>
      <c r="C90" s="1110" t="s">
        <v>349</v>
      </c>
      <c r="D90" s="1105" t="str">
        <f>+'NO DELETE'!AK41</f>
        <v>ป้ายจราจรแบบ น 8</v>
      </c>
      <c r="E90" s="1633"/>
      <c r="F90" s="1107" t="s">
        <v>38</v>
      </c>
      <c r="G90" s="1091">
        <f t="shared" ref="G90:G96" si="28">IF(E90&lt;=0,0,)</f>
        <v>0</v>
      </c>
      <c r="H90" s="1091">
        <f t="shared" ref="H90:H96" si="29">IF(E90&lt;=0,0,)</f>
        <v>0</v>
      </c>
      <c r="I90" s="1106">
        <f>ROUND(IF(E90&lt;=0,0,IF('NO DELETE'!$AH$35=1,'NO DELETE'!AL41,IF('NO DELETE'!$AH$35=2,'NO DELETE'!AM41,'NO DELETE'!AN41))),2)</f>
        <v>0</v>
      </c>
      <c r="J90" s="1122">
        <f t="shared" si="25"/>
        <v>0</v>
      </c>
      <c r="K90" s="1085">
        <f>IF(E90&gt;0,'NO DELETE'!$Q$18,)</f>
        <v>0</v>
      </c>
      <c r="L90" s="1122">
        <f t="shared" si="26"/>
        <v>0</v>
      </c>
      <c r="M90" s="1122">
        <f t="shared" si="27"/>
        <v>0</v>
      </c>
      <c r="N90" s="2666" t="str">
        <f>+VLOOKUP('NO DELETE'!$AH$35,'NO DELETE'!$AD$44:$AE$46,2)</f>
        <v>SIZE 2</v>
      </c>
      <c r="O90" s="2667"/>
      <c r="Q90" s="2138"/>
    </row>
    <row r="91" spans="1:17" s="150" customFormat="1" ht="20.100000000000001" customHeight="1">
      <c r="A91" s="167"/>
      <c r="B91" s="156"/>
      <c r="C91" s="1110" t="s">
        <v>351</v>
      </c>
      <c r="D91" s="1105" t="str">
        <f>+'NO DELETE'!AK42</f>
        <v>ป้ายจราจรแบบ นส 1 - นส 14</v>
      </c>
      <c r="E91" s="1633"/>
      <c r="F91" s="1107" t="s">
        <v>38</v>
      </c>
      <c r="G91" s="1091">
        <f t="shared" si="28"/>
        <v>0</v>
      </c>
      <c r="H91" s="1091">
        <f t="shared" si="29"/>
        <v>0</v>
      </c>
      <c r="I91" s="1106">
        <f>ROUND(IF(E91&lt;=0,0,IF('NO DELETE'!$AH$35=1,'NO DELETE'!AL42,IF('NO DELETE'!$AH$35=2,'NO DELETE'!AM42,'NO DELETE'!AN42))),2)</f>
        <v>0</v>
      </c>
      <c r="J91" s="1122">
        <f t="shared" si="25"/>
        <v>0</v>
      </c>
      <c r="K91" s="1085">
        <f>IF(E91&gt;0,'NO DELETE'!$Q$18,)</f>
        <v>0</v>
      </c>
      <c r="L91" s="1122">
        <f t="shared" si="26"/>
        <v>0</v>
      </c>
      <c r="M91" s="1122">
        <f t="shared" si="27"/>
        <v>0</v>
      </c>
      <c r="N91" s="2666" t="str">
        <f>+VLOOKUP('NO DELETE'!$AH$35,'NO DELETE'!$AD$44:$AE$46,2)</f>
        <v>SIZE 2</v>
      </c>
      <c r="O91" s="2667"/>
      <c r="Q91" s="2138"/>
    </row>
    <row r="92" spans="1:17" s="150" customFormat="1" ht="20.100000000000001" customHeight="1">
      <c r="A92" s="167"/>
      <c r="B92" s="156"/>
      <c r="C92" s="1110" t="s">
        <v>353</v>
      </c>
      <c r="D92" s="1634" t="str">
        <f>+'NO DELETE'!AK43</f>
        <v>ป้ายจราจรแบบ บ 3-บ 55 + ต 1-ต 27,ต 31- ต 60</v>
      </c>
      <c r="E92" s="1633"/>
      <c r="F92" s="1107" t="s">
        <v>38</v>
      </c>
      <c r="G92" s="1091">
        <f t="shared" si="28"/>
        <v>0</v>
      </c>
      <c r="H92" s="1091">
        <f t="shared" si="29"/>
        <v>0</v>
      </c>
      <c r="I92" s="1106">
        <f>ROUND(IF(E92&lt;=0,0,IF('NO DELETE'!$AH$35=1,'NO DELETE'!AL43,IF('NO DELETE'!$AH$35=2,'NO DELETE'!AM43,'NO DELETE'!AN43))),2)</f>
        <v>0</v>
      </c>
      <c r="J92" s="1122">
        <f t="shared" si="25"/>
        <v>0</v>
      </c>
      <c r="K92" s="1085">
        <f>IF(E92&gt;0,'NO DELETE'!$Q$18,)</f>
        <v>0</v>
      </c>
      <c r="L92" s="1122">
        <f t="shared" si="26"/>
        <v>0</v>
      </c>
      <c r="M92" s="1122">
        <f t="shared" si="27"/>
        <v>0</v>
      </c>
      <c r="N92" s="2666" t="str">
        <f>+VLOOKUP('NO DELETE'!$AH$35,'NO DELETE'!$AD$44:$AE$46,2)</f>
        <v>SIZE 2</v>
      </c>
      <c r="O92" s="2667"/>
      <c r="Q92" s="2138"/>
    </row>
    <row r="93" spans="1:17" s="150" customFormat="1" ht="20.100000000000001" customHeight="1">
      <c r="A93" s="167"/>
      <c r="B93" s="156"/>
      <c r="C93" s="1110" t="s">
        <v>354</v>
      </c>
      <c r="D93" s="1105" t="str">
        <f>+'NO DELETE'!AK44</f>
        <v>ป้ายจราจรแบบ ต 1- ต 27 + ต1 - ต 27</v>
      </c>
      <c r="E93" s="1633"/>
      <c r="F93" s="1107" t="s">
        <v>38</v>
      </c>
      <c r="G93" s="1091">
        <f t="shared" si="28"/>
        <v>0</v>
      </c>
      <c r="H93" s="1091">
        <f t="shared" si="29"/>
        <v>0</v>
      </c>
      <c r="I93" s="1106">
        <f>ROUND(IF(E93&lt;=0,0,IF('NO DELETE'!$AH$35=1,'NO DELETE'!AL44,IF('NO DELETE'!$AH$35=2,'NO DELETE'!AM44,'NO DELETE'!AN44))),2)</f>
        <v>0</v>
      </c>
      <c r="J93" s="1092">
        <f t="shared" si="25"/>
        <v>0</v>
      </c>
      <c r="K93" s="1085">
        <f>IF(E93&gt;0,'NO DELETE'!$Q$18,)</f>
        <v>0</v>
      </c>
      <c r="L93" s="1094">
        <f t="shared" ref="L93:L131" si="30">ROUND(K93*I93,1)</f>
        <v>0</v>
      </c>
      <c r="M93" s="1094">
        <f>L93*E93</f>
        <v>0</v>
      </c>
      <c r="N93" s="2664" t="str">
        <f>+VLOOKUP('NO DELETE'!$AH$39,'NO DELETE'!$AD$44:$AE$46,2)</f>
        <v>SIZE 2</v>
      </c>
      <c r="O93" s="2665"/>
      <c r="Q93" s="2138"/>
    </row>
    <row r="94" spans="1:17" s="150" customFormat="1">
      <c r="A94" s="167"/>
      <c r="B94" s="156"/>
      <c r="C94" s="1110" t="s">
        <v>356</v>
      </c>
      <c r="D94" s="1105" t="str">
        <f>+'NO DELETE'!AK45</f>
        <v>ป้ายจราจรแบบ ต 1- ต 27 + ต31 - ต 60</v>
      </c>
      <c r="E94" s="1633"/>
      <c r="F94" s="1107" t="s">
        <v>38</v>
      </c>
      <c r="G94" s="1091">
        <f t="shared" si="28"/>
        <v>0</v>
      </c>
      <c r="H94" s="1091">
        <f t="shared" si="29"/>
        <v>0</v>
      </c>
      <c r="I94" s="1106">
        <f>ROUND(IF(E94&lt;=0,0,IF('NO DELETE'!$AH$35=1,'NO DELETE'!AL45,IF('NO DELETE'!$AH$35=2,'NO DELETE'!AM45,'NO DELETE'!AN45))),2)</f>
        <v>0</v>
      </c>
      <c r="J94" s="1092">
        <f t="shared" si="25"/>
        <v>0</v>
      </c>
      <c r="K94" s="1085">
        <f>IF(E94&gt;0,'NO DELETE'!$Q$18,)</f>
        <v>0</v>
      </c>
      <c r="L94" s="1094">
        <f t="shared" si="30"/>
        <v>0</v>
      </c>
      <c r="M94" s="1094">
        <f>L94*E94</f>
        <v>0</v>
      </c>
      <c r="N94" s="2664" t="str">
        <f>+VLOOKUP('NO DELETE'!$AH$39,'NO DELETE'!$AD$44:$AE$46,2)</f>
        <v>SIZE 2</v>
      </c>
      <c r="O94" s="2665"/>
      <c r="Q94" s="2138"/>
    </row>
    <row r="95" spans="1:17" s="150" customFormat="1">
      <c r="A95" s="160"/>
      <c r="B95" s="182"/>
      <c r="C95" s="1110" t="s">
        <v>357</v>
      </c>
      <c r="D95" s="1105" t="str">
        <f>+'NO DELETE'!AK46</f>
        <v>ป้ายจราจรแบบ ต 31- ต 60 + ต31 - ต 60</v>
      </c>
      <c r="E95" s="1633"/>
      <c r="F95" s="1107" t="s">
        <v>38</v>
      </c>
      <c r="G95" s="1091">
        <f t="shared" si="28"/>
        <v>0</v>
      </c>
      <c r="H95" s="1091">
        <f t="shared" si="29"/>
        <v>0</v>
      </c>
      <c r="I95" s="1106">
        <f>ROUND(IF(E95&lt;=0,0,IF('NO DELETE'!$AH$35=1,'NO DELETE'!AL46,IF('NO DELETE'!$AH$35=2,'NO DELETE'!AM46,'NO DELETE'!AN46))),2)</f>
        <v>0</v>
      </c>
      <c r="J95" s="1092">
        <f t="shared" si="25"/>
        <v>0</v>
      </c>
      <c r="K95" s="1085">
        <f>IF(E95&gt;0,'NO DELETE'!$Q$18,)</f>
        <v>0</v>
      </c>
      <c r="L95" s="1094">
        <f t="shared" si="30"/>
        <v>0</v>
      </c>
      <c r="M95" s="1094">
        <f>L95*E95</f>
        <v>0</v>
      </c>
      <c r="N95" s="2664" t="str">
        <f>+VLOOKUP('NO DELETE'!$AH$39,'NO DELETE'!$AD$44:$AE$46,2)</f>
        <v>SIZE 2</v>
      </c>
      <c r="O95" s="2665"/>
      <c r="Q95" s="2138"/>
    </row>
    <row r="96" spans="1:17" s="150" customFormat="1">
      <c r="A96" s="167"/>
      <c r="B96" s="156"/>
      <c r="C96" s="1110" t="s">
        <v>367</v>
      </c>
      <c r="D96" s="1105" t="str">
        <f>+'NO DELETE'!AK47</f>
        <v>ป้ายจราจรแบบ ต 1- ต 27 + ต 74</v>
      </c>
      <c r="E96" s="1633"/>
      <c r="F96" s="1107" t="s">
        <v>38</v>
      </c>
      <c r="G96" s="1091">
        <f t="shared" si="28"/>
        <v>0</v>
      </c>
      <c r="H96" s="1091">
        <f t="shared" si="29"/>
        <v>0</v>
      </c>
      <c r="I96" s="1106">
        <f>ROUND(IF(E96&lt;=0,0,IF('NO DELETE'!$AH$35=1,'NO DELETE'!AL47,IF('NO DELETE'!$AH$35=2,'NO DELETE'!AM47,'NO DELETE'!AN47))),2)</f>
        <v>0</v>
      </c>
      <c r="J96" s="1092">
        <f t="shared" ref="J96:J101" si="31">E96*I96</f>
        <v>0</v>
      </c>
      <c r="K96" s="1085">
        <f>IF(E96&gt;0,'NO DELETE'!$Q$18,)</f>
        <v>0</v>
      </c>
      <c r="L96" s="1094">
        <f t="shared" si="30"/>
        <v>0</v>
      </c>
      <c r="M96" s="1094">
        <f>L96*E96</f>
        <v>0</v>
      </c>
      <c r="N96" s="2664" t="str">
        <f>+VLOOKUP('NO DELETE'!$AH$39,'NO DELETE'!$AD$44:$AE$46,2)</f>
        <v>SIZE 2</v>
      </c>
      <c r="O96" s="2665"/>
      <c r="Q96" s="2138"/>
    </row>
    <row r="97" spans="1:17" s="150" customFormat="1">
      <c r="A97" s="160"/>
      <c r="B97" s="182"/>
      <c r="C97" s="1110" t="s">
        <v>369</v>
      </c>
      <c r="D97" s="1105" t="str">
        <f>+'NO DELETE'!AK48</f>
        <v>ป้ายจราจรแบบ ต 31- ต 60 + ต 74</v>
      </c>
      <c r="E97" s="1633"/>
      <c r="F97" s="1107" t="s">
        <v>38</v>
      </c>
      <c r="G97" s="1091">
        <f t="shared" ref="G97:G131" si="32">IF(E97&lt;=0,0,)</f>
        <v>0</v>
      </c>
      <c r="H97" s="1091">
        <f t="shared" ref="H97:H131" si="33">IF(E97&lt;=0,0,)</f>
        <v>0</v>
      </c>
      <c r="I97" s="1106">
        <f>ROUND(IF(E97&lt;=0,0,IF('NO DELETE'!$AH$35=1,'NO DELETE'!AL48,IF('NO DELETE'!$AH$35=2,'NO DELETE'!AM48,'NO DELETE'!AN48))),2)</f>
        <v>0</v>
      </c>
      <c r="J97" s="1092">
        <f t="shared" si="31"/>
        <v>0</v>
      </c>
      <c r="K97" s="1085">
        <f>IF(E97&gt;0,'NO DELETE'!$Q$18,)</f>
        <v>0</v>
      </c>
      <c r="L97" s="1094">
        <f t="shared" si="30"/>
        <v>0</v>
      </c>
      <c r="M97" s="1094">
        <f>L97*E97</f>
        <v>0</v>
      </c>
      <c r="N97" s="2664" t="str">
        <f>+VLOOKUP('NO DELETE'!$AH$39,'NO DELETE'!$AD$44:$AE$46,2)</f>
        <v>SIZE 2</v>
      </c>
      <c r="O97" s="2665"/>
      <c r="Q97" s="2138"/>
    </row>
    <row r="98" spans="1:17" s="150" customFormat="1">
      <c r="A98" s="160"/>
      <c r="B98" s="182"/>
      <c r="C98" s="1110" t="s">
        <v>370</v>
      </c>
      <c r="D98" s="1105" t="str">
        <f>+'NO DELETE'!AK49</f>
        <v>ป้ายจราจรแบบ ต 1- ต 27 + ต 75</v>
      </c>
      <c r="E98" s="1633"/>
      <c r="F98" s="1107" t="s">
        <v>38</v>
      </c>
      <c r="G98" s="1091">
        <f t="shared" si="32"/>
        <v>0</v>
      </c>
      <c r="H98" s="1091">
        <f t="shared" si="33"/>
        <v>0</v>
      </c>
      <c r="I98" s="1106">
        <f>ROUND(IF(E98&lt;=0,0,IF('NO DELETE'!$AH$35=1,'NO DELETE'!AL49,IF('NO DELETE'!$AH$35=2,'NO DELETE'!AM49,'NO DELETE'!AN49))),2)</f>
        <v>0</v>
      </c>
      <c r="J98" s="1092">
        <f t="shared" si="31"/>
        <v>0</v>
      </c>
      <c r="K98" s="1085">
        <f>IF(E98&gt;0,'NO DELETE'!$Q$18,)</f>
        <v>0</v>
      </c>
      <c r="L98" s="1094">
        <f t="shared" si="30"/>
        <v>0</v>
      </c>
      <c r="M98" s="1094">
        <f t="shared" ref="M98:M103" si="34">L98*E98</f>
        <v>0</v>
      </c>
      <c r="N98" s="2664" t="str">
        <f>+VLOOKUP('NO DELETE'!$AH$39,'NO DELETE'!$AD$44:$AE$46,2)</f>
        <v>SIZE 2</v>
      </c>
      <c r="O98" s="2665"/>
      <c r="Q98" s="2138"/>
    </row>
    <row r="99" spans="1:17" s="150" customFormat="1">
      <c r="A99" s="160"/>
      <c r="B99" s="182"/>
      <c r="C99" s="1110" t="s">
        <v>371</v>
      </c>
      <c r="D99" s="1105" t="str">
        <f>+'NO DELETE'!AK50</f>
        <v>ป้ายจราจรแบบ ต 31- ต 60 + ต 75</v>
      </c>
      <c r="E99" s="1633"/>
      <c r="F99" s="1107" t="s">
        <v>38</v>
      </c>
      <c r="G99" s="1091">
        <f t="shared" si="32"/>
        <v>0</v>
      </c>
      <c r="H99" s="1091">
        <f t="shared" si="33"/>
        <v>0</v>
      </c>
      <c r="I99" s="1106">
        <f>ROUND(IF(E99&lt;=0,0,IF('NO DELETE'!$AH$35=1,'NO DELETE'!AL50,IF('NO DELETE'!$AH$35=2,'NO DELETE'!AM50,'NO DELETE'!AN50))),2)</f>
        <v>0</v>
      </c>
      <c r="J99" s="1092">
        <f t="shared" si="31"/>
        <v>0</v>
      </c>
      <c r="K99" s="1085">
        <f>IF(E99&gt;0,'NO DELETE'!$Q$18,)</f>
        <v>0</v>
      </c>
      <c r="L99" s="1094">
        <f t="shared" si="30"/>
        <v>0</v>
      </c>
      <c r="M99" s="1094">
        <f t="shared" si="34"/>
        <v>0</v>
      </c>
      <c r="N99" s="2664" t="str">
        <f>+VLOOKUP('NO DELETE'!$AH$39,'NO DELETE'!$AD$44:$AE$46,2)</f>
        <v>SIZE 2</v>
      </c>
      <c r="O99" s="2665"/>
      <c r="Q99" s="2138"/>
    </row>
    <row r="100" spans="1:17" s="150" customFormat="1">
      <c r="A100" s="160"/>
      <c r="B100" s="182"/>
      <c r="C100" s="1110" t="s">
        <v>372</v>
      </c>
      <c r="D100" s="1105" t="str">
        <f>+'NO DELETE'!AK51</f>
        <v>ป้ายจราจรแบบ ต 1- ต 27 + ต 76</v>
      </c>
      <c r="E100" s="1633"/>
      <c r="F100" s="1107" t="s">
        <v>38</v>
      </c>
      <c r="G100" s="1091">
        <f t="shared" si="32"/>
        <v>0</v>
      </c>
      <c r="H100" s="1091">
        <f t="shared" si="33"/>
        <v>0</v>
      </c>
      <c r="I100" s="1106">
        <f>ROUND(IF(E100&lt;=0,0,IF('NO DELETE'!$AH$35=1,'NO DELETE'!AL51,IF('NO DELETE'!$AH$35=2,'NO DELETE'!AM51,'NO DELETE'!AN51))),2)</f>
        <v>0</v>
      </c>
      <c r="J100" s="1092">
        <f t="shared" si="31"/>
        <v>0</v>
      </c>
      <c r="K100" s="1085">
        <f>IF(E100&gt;0,'NO DELETE'!$Q$18,)</f>
        <v>0</v>
      </c>
      <c r="L100" s="1094">
        <f t="shared" si="30"/>
        <v>0</v>
      </c>
      <c r="M100" s="1094">
        <f t="shared" si="34"/>
        <v>0</v>
      </c>
      <c r="N100" s="2664" t="str">
        <f>+VLOOKUP('NO DELETE'!$AH$39,'NO DELETE'!$AD$44:$AE$46,2)</f>
        <v>SIZE 2</v>
      </c>
      <c r="O100" s="2665"/>
      <c r="Q100" s="2138"/>
    </row>
    <row r="101" spans="1:17" s="150" customFormat="1">
      <c r="A101" s="160"/>
      <c r="B101" s="182"/>
      <c r="C101" s="1110" t="s">
        <v>373</v>
      </c>
      <c r="D101" s="1105" t="str">
        <f>+'NO DELETE'!AK52</f>
        <v>ป้ายจราจรแบบ ต 31- ต 60 + ต 76</v>
      </c>
      <c r="E101" s="1633"/>
      <c r="F101" s="1107" t="s">
        <v>38</v>
      </c>
      <c r="G101" s="1091">
        <f t="shared" si="32"/>
        <v>0</v>
      </c>
      <c r="H101" s="1091">
        <f t="shared" si="33"/>
        <v>0</v>
      </c>
      <c r="I101" s="1106">
        <f>ROUND(IF(E101&lt;=0,0,IF('NO DELETE'!$AH$35=1,'NO DELETE'!AL52,IF('NO DELETE'!$AH$35=2,'NO DELETE'!AM52,'NO DELETE'!AN52))),2)</f>
        <v>0</v>
      </c>
      <c r="J101" s="1092">
        <f t="shared" si="31"/>
        <v>0</v>
      </c>
      <c r="K101" s="1085">
        <f>IF(E101&gt;0,'NO DELETE'!$Q$18,)</f>
        <v>0</v>
      </c>
      <c r="L101" s="1094">
        <f t="shared" si="30"/>
        <v>0</v>
      </c>
      <c r="M101" s="1094">
        <f t="shared" si="34"/>
        <v>0</v>
      </c>
      <c r="N101" s="2664" t="str">
        <f>+VLOOKUP('NO DELETE'!$AH$39,'NO DELETE'!$AD$44:$AE$46,2)</f>
        <v>SIZE 2</v>
      </c>
      <c r="O101" s="2665"/>
      <c r="Q101" s="2138"/>
    </row>
    <row r="102" spans="1:17" s="150" customFormat="1">
      <c r="A102" s="167"/>
      <c r="B102" s="156"/>
      <c r="C102" s="1110" t="s">
        <v>374</v>
      </c>
      <c r="D102" s="1105" t="str">
        <f>+'NO DELETE'!AK53</f>
        <v>ป้ายจราจรแบบ ต 1- ต 27 + ต 77</v>
      </c>
      <c r="E102" s="1633"/>
      <c r="F102" s="1107" t="s">
        <v>38</v>
      </c>
      <c r="G102" s="1091">
        <f t="shared" si="32"/>
        <v>0</v>
      </c>
      <c r="H102" s="1091">
        <f t="shared" si="33"/>
        <v>0</v>
      </c>
      <c r="I102" s="1106">
        <f>ROUND(IF(E102&lt;=0,0,IF('NO DELETE'!$AH$35=1,'NO DELETE'!AL53,IF('NO DELETE'!$AH$35=2,'NO DELETE'!AM53,'NO DELETE'!AN53))),2)</f>
        <v>0</v>
      </c>
      <c r="J102" s="1092">
        <f t="shared" ref="J102:J131" si="35">E102*I102</f>
        <v>0</v>
      </c>
      <c r="K102" s="1085">
        <f>IF(E102&gt;0,'NO DELETE'!$Q$18,)</f>
        <v>0</v>
      </c>
      <c r="L102" s="1094">
        <f t="shared" si="30"/>
        <v>0</v>
      </c>
      <c r="M102" s="1094">
        <f t="shared" si="34"/>
        <v>0</v>
      </c>
      <c r="N102" s="2664" t="str">
        <f>+VLOOKUP('NO DELETE'!$AH$39,'NO DELETE'!$AD$44:$AE$46,2)</f>
        <v>SIZE 2</v>
      </c>
      <c r="O102" s="2665"/>
      <c r="Q102" s="2138"/>
    </row>
    <row r="103" spans="1:17" s="150" customFormat="1">
      <c r="A103" s="167"/>
      <c r="B103" s="156"/>
      <c r="C103" s="1110" t="s">
        <v>537</v>
      </c>
      <c r="D103" s="1105" t="str">
        <f>+'NO DELETE'!AK54</f>
        <v>ป้ายจราจรแบบ ต 31- ต 60 + ต 77</v>
      </c>
      <c r="E103" s="1633"/>
      <c r="F103" s="1107" t="s">
        <v>38</v>
      </c>
      <c r="G103" s="1091">
        <f t="shared" si="32"/>
        <v>0</v>
      </c>
      <c r="H103" s="1091">
        <f t="shared" si="33"/>
        <v>0</v>
      </c>
      <c r="I103" s="1106">
        <f>ROUND(IF(E103&lt;=0,0,IF('NO DELETE'!$AH$35=1,'NO DELETE'!AL54,IF('NO DELETE'!$AH$35=2,'NO DELETE'!AM54,'NO DELETE'!AN54))),2)</f>
        <v>0</v>
      </c>
      <c r="J103" s="1092">
        <f t="shared" si="35"/>
        <v>0</v>
      </c>
      <c r="K103" s="1085">
        <f>IF(E103&gt;0,'NO DELETE'!$Q$18,)</f>
        <v>0</v>
      </c>
      <c r="L103" s="1094">
        <f t="shared" si="30"/>
        <v>0</v>
      </c>
      <c r="M103" s="1094">
        <f t="shared" si="34"/>
        <v>0</v>
      </c>
      <c r="N103" s="2664" t="str">
        <f>+VLOOKUP('NO DELETE'!$AH$39,'NO DELETE'!$AD$44:$AE$46,2)</f>
        <v>SIZE 2</v>
      </c>
      <c r="O103" s="2665"/>
      <c r="Q103" s="2138"/>
    </row>
    <row r="104" spans="1:17" s="150" customFormat="1">
      <c r="A104" s="167"/>
      <c r="B104" s="156"/>
      <c r="C104" s="1110" t="s">
        <v>538</v>
      </c>
      <c r="D104" s="1105" t="str">
        <f>+'NO DELETE'!AK55</f>
        <v>ป้ายจราจรแบบ ต 1- ต 27 + ต 78</v>
      </c>
      <c r="E104" s="1633"/>
      <c r="F104" s="1107" t="s">
        <v>38</v>
      </c>
      <c r="G104" s="1091">
        <f t="shared" si="32"/>
        <v>0</v>
      </c>
      <c r="H104" s="1091">
        <f t="shared" si="33"/>
        <v>0</v>
      </c>
      <c r="I104" s="1106">
        <f>ROUND(IF(E104&lt;=0,0,IF('NO DELETE'!$AH$35=1,'NO DELETE'!AL55,IF('NO DELETE'!$AH$35=2,'NO DELETE'!AM55,'NO DELETE'!AN55))),2)</f>
        <v>0</v>
      </c>
      <c r="J104" s="1092">
        <f>E104*I104</f>
        <v>0</v>
      </c>
      <c r="K104" s="1085">
        <f>IF(E104&gt;0,'NO DELETE'!$Q$18,)</f>
        <v>0</v>
      </c>
      <c r="L104" s="1094">
        <f t="shared" si="30"/>
        <v>0</v>
      </c>
      <c r="M104" s="1094">
        <f t="shared" ref="M104:M131" si="36">L104*E104</f>
        <v>0</v>
      </c>
      <c r="N104" s="2664" t="str">
        <f>+VLOOKUP('NO DELETE'!$AH$39,'NO DELETE'!$AD$44:$AE$46,2)</f>
        <v>SIZE 2</v>
      </c>
      <c r="O104" s="2665"/>
      <c r="Q104" s="2138"/>
    </row>
    <row r="105" spans="1:17" s="150" customFormat="1">
      <c r="A105" s="167"/>
      <c r="B105" s="156"/>
      <c r="C105" s="1110" t="s">
        <v>1230</v>
      </c>
      <c r="D105" s="1105" t="str">
        <f>+'NO DELETE'!AK56</f>
        <v>ป้ายจราจรแบบ ต 31- ต 60 + ต 78</v>
      </c>
      <c r="E105" s="1633"/>
      <c r="F105" s="1107" t="s">
        <v>38</v>
      </c>
      <c r="G105" s="1091">
        <f t="shared" si="32"/>
        <v>0</v>
      </c>
      <c r="H105" s="1091">
        <f t="shared" si="33"/>
        <v>0</v>
      </c>
      <c r="I105" s="1106">
        <f>ROUND(IF(E105&lt;=0,0,IF('NO DELETE'!$AH$35=1,'NO DELETE'!AL56,IF('NO DELETE'!$AH$35=2,'NO DELETE'!AM56,'NO DELETE'!AN56))),2)</f>
        <v>0</v>
      </c>
      <c r="J105" s="1092">
        <f>E105*I105</f>
        <v>0</v>
      </c>
      <c r="K105" s="1085">
        <f>IF(E105&gt;0,'NO DELETE'!$Q$18,)</f>
        <v>0</v>
      </c>
      <c r="L105" s="1094">
        <f t="shared" si="30"/>
        <v>0</v>
      </c>
      <c r="M105" s="1094">
        <f t="shared" si="36"/>
        <v>0</v>
      </c>
      <c r="N105" s="2664" t="str">
        <f>+VLOOKUP('NO DELETE'!$AH$39,'NO DELETE'!$AD$44:$AE$46,2)</f>
        <v>SIZE 2</v>
      </c>
      <c r="O105" s="2665"/>
      <c r="Q105" s="2138"/>
    </row>
    <row r="106" spans="1:17" s="150" customFormat="1">
      <c r="A106" s="167"/>
      <c r="B106" s="156"/>
      <c r="C106" s="1110" t="s">
        <v>1347</v>
      </c>
      <c r="D106" s="1531" t="str">
        <f>+'NO DELETE'!AK57</f>
        <v>ป้ายจราจรแบบ น 1 + นส 1 - นส 14</v>
      </c>
      <c r="E106" s="1633"/>
      <c r="F106" s="1107" t="s">
        <v>38</v>
      </c>
      <c r="G106" s="1091">
        <f t="shared" ref="G106:G113" si="37">IF(E106&lt;=0,0,)</f>
        <v>0</v>
      </c>
      <c r="H106" s="1091">
        <f t="shared" ref="H106:H113" si="38">IF(E106&lt;=0,0,)</f>
        <v>0</v>
      </c>
      <c r="I106" s="1106">
        <f>ROUND(IF(E106&lt;=0,0,IF('NO DELETE'!$AH$39=1,'NO DELETE'!AL57,IF('NO DELETE'!$AH$39=2,'NO DELETE'!AM57,'NO DELETE'!AN57))),2)</f>
        <v>0</v>
      </c>
      <c r="J106" s="1092">
        <f>E106*I106</f>
        <v>0</v>
      </c>
      <c r="K106" s="1085">
        <f>IF(E106&gt;0,'NO DELETE'!$Q$18,)</f>
        <v>0</v>
      </c>
      <c r="L106" s="1094">
        <f>ROUND(K106*I106,1)</f>
        <v>0</v>
      </c>
      <c r="M106" s="1094">
        <f>L106*E106</f>
        <v>0</v>
      </c>
      <c r="N106" s="2664" t="str">
        <f>+VLOOKUP('NO DELETE'!$AH$39,'NO DELETE'!$AD$44:$AE$46,2)</f>
        <v>SIZE 2</v>
      </c>
      <c r="O106" s="2665"/>
      <c r="Q106" s="2138"/>
    </row>
    <row r="107" spans="1:17" s="150" customFormat="1">
      <c r="A107" s="167"/>
      <c r="B107" s="156"/>
      <c r="C107" s="1110" t="s">
        <v>1348</v>
      </c>
      <c r="D107" s="1531" t="str">
        <f>+'NO DELETE'!AK58</f>
        <v>ป้ายจราจรแบบ น 1/1 + นส 1 - นส 14</v>
      </c>
      <c r="E107" s="1633"/>
      <c r="F107" s="1107" t="s">
        <v>38</v>
      </c>
      <c r="G107" s="1091">
        <f t="shared" si="37"/>
        <v>0</v>
      </c>
      <c r="H107" s="1091">
        <f t="shared" si="38"/>
        <v>0</v>
      </c>
      <c r="I107" s="1106">
        <f>ROUND(IF(E107&lt;=0,0,IF('NO DELETE'!$AH$39=1,'NO DELETE'!AL58,IF('NO DELETE'!$AH$39=2,'NO DELETE'!AM58,'NO DELETE'!AN58))),2)</f>
        <v>0</v>
      </c>
      <c r="J107" s="1092">
        <f>E107*I107</f>
        <v>0</v>
      </c>
      <c r="K107" s="1085">
        <f>IF(E107&gt;0,'NO DELETE'!$Q$18,)</f>
        <v>0</v>
      </c>
      <c r="L107" s="1094">
        <f>ROUND(K107*I107,1)</f>
        <v>0</v>
      </c>
      <c r="M107" s="1094">
        <f>L107*E107</f>
        <v>0</v>
      </c>
      <c r="N107" s="2664" t="str">
        <f>+VLOOKUP('NO DELETE'!$AH$39,'NO DELETE'!$AD$44:$AE$46,2)</f>
        <v>SIZE 2</v>
      </c>
      <c r="O107" s="2665"/>
      <c r="Q107" s="2138"/>
    </row>
    <row r="108" spans="1:17" s="150" customFormat="1">
      <c r="A108" s="167"/>
      <c r="B108" s="156"/>
      <c r="C108" s="1110" t="s">
        <v>1349</v>
      </c>
      <c r="D108" s="1531" t="str">
        <f>+'NO DELETE'!AK59</f>
        <v>ป้ายจราจรแบบ น 1(2ชิ้น) + นส 14(2ชิ้น)</v>
      </c>
      <c r="E108" s="1633"/>
      <c r="F108" s="1107" t="s">
        <v>38</v>
      </c>
      <c r="G108" s="1091">
        <f t="shared" si="37"/>
        <v>0</v>
      </c>
      <c r="H108" s="1091">
        <f t="shared" si="38"/>
        <v>0</v>
      </c>
      <c r="I108" s="1106">
        <f>ROUND(IF(E108&lt;=0,0,IF('NO DELETE'!$AH$39=1,'NO DELETE'!AL59,IF('NO DELETE'!$AH$39=2,'NO DELETE'!AM59,'NO DELETE'!AN59))),2)</f>
        <v>0</v>
      </c>
      <c r="J108" s="1092">
        <f t="shared" ref="J108:J110" si="39">E108*I108</f>
        <v>0</v>
      </c>
      <c r="K108" s="1085">
        <f>IF(E108&gt;0,'NO DELETE'!$Q$18,)</f>
        <v>0</v>
      </c>
      <c r="L108" s="1094">
        <f t="shared" ref="L108:L110" si="40">ROUND(K108*I108,1)</f>
        <v>0</v>
      </c>
      <c r="M108" s="1094">
        <f t="shared" ref="M108:M110" si="41">L108*E108</f>
        <v>0</v>
      </c>
      <c r="N108" s="2664" t="str">
        <f>+VLOOKUP('NO DELETE'!$AH$39,'NO DELETE'!$AD$44:$AE$46,2)</f>
        <v>SIZE 2</v>
      </c>
      <c r="O108" s="2665"/>
      <c r="Q108" s="2138"/>
    </row>
    <row r="109" spans="1:17" s="150" customFormat="1">
      <c r="A109" s="167"/>
      <c r="B109" s="156"/>
      <c r="C109" s="1110" t="s">
        <v>1350</v>
      </c>
      <c r="D109" s="1531" t="str">
        <f>+'NO DELETE'!AK60</f>
        <v>ป้ายจราจรแบบ น 1+น1/1+ นส 14(2ชิ้น)</v>
      </c>
      <c r="E109" s="1633"/>
      <c r="F109" s="1107" t="s">
        <v>38</v>
      </c>
      <c r="G109" s="1091">
        <f t="shared" si="37"/>
        <v>0</v>
      </c>
      <c r="H109" s="1091">
        <f t="shared" si="38"/>
        <v>0</v>
      </c>
      <c r="I109" s="1106">
        <f>ROUND(IF(E109&lt;=0,0,IF('NO DELETE'!$AH$39=1,'NO DELETE'!AL60,IF('NO DELETE'!$AH$39=2,'NO DELETE'!AM60,'NO DELETE'!AN60))),2)</f>
        <v>0</v>
      </c>
      <c r="J109" s="1092">
        <f t="shared" si="39"/>
        <v>0</v>
      </c>
      <c r="K109" s="1085">
        <f>IF(E109&gt;0,'NO DELETE'!$Q$18,)</f>
        <v>0</v>
      </c>
      <c r="L109" s="1094">
        <f t="shared" si="40"/>
        <v>0</v>
      </c>
      <c r="M109" s="1094">
        <f t="shared" si="41"/>
        <v>0</v>
      </c>
      <c r="N109" s="2664" t="str">
        <f>+VLOOKUP('NO DELETE'!$AH$39,'NO DELETE'!$AD$44:$AE$46,2)</f>
        <v>SIZE 2</v>
      </c>
      <c r="O109" s="2665"/>
      <c r="Q109" s="2138"/>
    </row>
    <row r="110" spans="1:17" s="150" customFormat="1">
      <c r="A110" s="167"/>
      <c r="B110" s="156"/>
      <c r="C110" s="1110" t="s">
        <v>1351</v>
      </c>
      <c r="D110" s="1531" t="str">
        <f>+'NO DELETE'!AK61</f>
        <v>ป้ายจราจรแบบ น 1+น 1/1(2ชิ้น)+นส 1 - นส 14(3ชิ้น)</v>
      </c>
      <c r="E110" s="1633"/>
      <c r="F110" s="1107" t="s">
        <v>38</v>
      </c>
      <c r="G110" s="1091">
        <f t="shared" si="37"/>
        <v>0</v>
      </c>
      <c r="H110" s="1091">
        <f t="shared" si="38"/>
        <v>0</v>
      </c>
      <c r="I110" s="1106">
        <f>ROUND(IF(E110&lt;=0,0,IF('NO DELETE'!$AH$39=1,'NO DELETE'!AL61,IF('NO DELETE'!$AH$39=2,'NO DELETE'!AM61,'NO DELETE'!AN61))),2)</f>
        <v>0</v>
      </c>
      <c r="J110" s="1092">
        <f t="shared" si="39"/>
        <v>0</v>
      </c>
      <c r="K110" s="1085">
        <f>IF(E110&gt;0,'NO DELETE'!$Q$18,)</f>
        <v>0</v>
      </c>
      <c r="L110" s="1094">
        <f t="shared" si="40"/>
        <v>0</v>
      </c>
      <c r="M110" s="1094">
        <f t="shared" si="41"/>
        <v>0</v>
      </c>
      <c r="N110" s="2664" t="str">
        <f>+VLOOKUP('NO DELETE'!$AH$39,'NO DELETE'!$AD$44:$AE$46,2)</f>
        <v>SIZE 2</v>
      </c>
      <c r="O110" s="2665"/>
      <c r="Q110" s="2138"/>
    </row>
    <row r="111" spans="1:17" s="150" customFormat="1">
      <c r="A111" s="167"/>
      <c r="B111" s="156"/>
      <c r="C111" s="1110" t="s">
        <v>1352</v>
      </c>
      <c r="D111" s="1113" t="s">
        <v>366</v>
      </c>
      <c r="E111" s="1633"/>
      <c r="F111" s="1117" t="s">
        <v>39</v>
      </c>
      <c r="G111" s="1091">
        <f t="shared" si="37"/>
        <v>0</v>
      </c>
      <c r="H111" s="1091">
        <f t="shared" si="38"/>
        <v>0</v>
      </c>
      <c r="I111" s="1106">
        <f>ROUND(IF(E111&lt;=0,0,'NO DELETE'!AL64),2)</f>
        <v>0</v>
      </c>
      <c r="J111" s="1092">
        <f>E111*I111</f>
        <v>0</v>
      </c>
      <c r="K111" s="1085">
        <f>IF(E111&gt;0,'NO DELETE'!$Q$18,)</f>
        <v>0</v>
      </c>
      <c r="L111" s="1094">
        <f>ROUND(K111*I111,1)</f>
        <v>0</v>
      </c>
      <c r="M111" s="1094">
        <f>L111*E111</f>
        <v>0</v>
      </c>
      <c r="N111" s="1123"/>
      <c r="O111" s="1124"/>
      <c r="Q111" s="2138"/>
    </row>
    <row r="112" spans="1:17" s="150" customFormat="1">
      <c r="A112" s="167"/>
      <c r="B112" s="156"/>
      <c r="C112" s="1110" t="s">
        <v>1353</v>
      </c>
      <c r="D112" s="1113" t="s">
        <v>231</v>
      </c>
      <c r="E112" s="1633"/>
      <c r="F112" s="1117" t="s">
        <v>39</v>
      </c>
      <c r="G112" s="1091">
        <f t="shared" si="37"/>
        <v>0</v>
      </c>
      <c r="H112" s="1091">
        <f t="shared" si="38"/>
        <v>0</v>
      </c>
      <c r="I112" s="1106">
        <f>ROUND(IF(E112&lt;=0,0,'NO DELETE'!AL66),2)</f>
        <v>0</v>
      </c>
      <c r="J112" s="1092">
        <f>E112*I112</f>
        <v>0</v>
      </c>
      <c r="K112" s="1085">
        <f>IF(E112&gt;0,'NO DELETE'!$Q$18,)</f>
        <v>0</v>
      </c>
      <c r="L112" s="1094">
        <f>ROUND(K112*I112,1)</f>
        <v>0</v>
      </c>
      <c r="M112" s="1094">
        <f>L112*E112</f>
        <v>0</v>
      </c>
      <c r="N112" s="1123"/>
      <c r="O112" s="1124"/>
      <c r="Q112" s="2138"/>
    </row>
    <row r="113" spans="1:17" s="150" customFormat="1">
      <c r="A113" s="167"/>
      <c r="B113" s="156"/>
      <c r="C113" s="1110" t="s">
        <v>1838</v>
      </c>
      <c r="D113" s="1113" t="str">
        <f>+VLOOKUP('NO DELETE'!AV6,'NO DELETE'!AQ6:AS9,2)</f>
        <v>ป้าย กม. ขนาด   80 X 40  จร.121/56(หน้าเดียว)</v>
      </c>
      <c r="E113" s="1633">
        <v>1</v>
      </c>
      <c r="F113" s="1117" t="s">
        <v>38</v>
      </c>
      <c r="G113" s="1091">
        <f t="shared" si="37"/>
        <v>0</v>
      </c>
      <c r="H113" s="1091">
        <f t="shared" si="38"/>
        <v>0</v>
      </c>
      <c r="I113" s="1106">
        <f>ROUND(IF(E113&lt;=0,0,'NO DELETE'!AU5),)</f>
        <v>3740</v>
      </c>
      <c r="J113" s="1092">
        <f>E113*I113</f>
        <v>3740</v>
      </c>
      <c r="K113" s="1085">
        <f>IF(E113&gt;0,'NO DELETE'!$Q$18,)</f>
        <v>1.4152</v>
      </c>
      <c r="L113" s="1094">
        <f>ROUND(K113*I113,1)</f>
        <v>5292.8</v>
      </c>
      <c r="M113" s="1094">
        <f>L113*E113</f>
        <v>5292.8</v>
      </c>
      <c r="N113" s="1123"/>
      <c r="O113" s="1124"/>
      <c r="Q113" s="2138"/>
    </row>
    <row r="114" spans="1:17" s="150" customFormat="1" ht="21.75" customHeight="1">
      <c r="A114" s="2638" t="s">
        <v>131</v>
      </c>
      <c r="B114" s="2639"/>
      <c r="C114" s="2639"/>
      <c r="D114" s="2639"/>
      <c r="E114" s="2639"/>
      <c r="F114" s="2639"/>
      <c r="G114" s="2639"/>
      <c r="H114" s="2639"/>
      <c r="I114" s="2640"/>
      <c r="J114" s="888">
        <f>SUM(J63:J113)</f>
        <v>5534883.3000000007</v>
      </c>
      <c r="K114" s="886"/>
      <c r="L114" s="887"/>
      <c r="M114" s="888">
        <f>SUM(M63:M113)</f>
        <v>7833001.1000000006</v>
      </c>
      <c r="N114" s="158"/>
      <c r="O114" s="189"/>
      <c r="Q114" s="2138"/>
    </row>
    <row r="115" spans="1:17" s="150" customFormat="1" ht="21.75" customHeight="1">
      <c r="A115" s="2651" t="str">
        <f>+A58</f>
        <v xml:space="preserve">รายละเอียดการประมาณราคา บำรุงพิเศษ ซ่อมสร้างผิวทาง Asphaltic Concrete </v>
      </c>
      <c r="B115" s="2651"/>
      <c r="C115" s="2651"/>
      <c r="D115" s="2651"/>
      <c r="E115" s="2651"/>
      <c r="F115" s="2651"/>
      <c r="G115" s="2651"/>
      <c r="H115" s="2651"/>
      <c r="I115" s="2651"/>
      <c r="J115" s="2651"/>
      <c r="K115" s="2651"/>
      <c r="L115" s="2651"/>
      <c r="M115" s="2651"/>
      <c r="N115" s="2651"/>
      <c r="O115" s="2651"/>
      <c r="Q115" s="2138"/>
    </row>
    <row r="116" spans="1:17" s="150" customFormat="1" ht="18.75" customHeight="1">
      <c r="A116" s="973" t="str">
        <f>+A59</f>
        <v>รหัสสายทาง</v>
      </c>
      <c r="B116" s="881"/>
      <c r="C116" s="881"/>
      <c r="D116" s="981" t="str">
        <f>+D59</f>
        <v>ปน.4031</v>
      </c>
      <c r="E116" s="973" t="str">
        <f>+E59</f>
        <v>ชื่อสายทาง</v>
      </c>
      <c r="F116" s="982" t="str">
        <f>+F59</f>
        <v>แยกทางหลวงหมายเลข 4157-บ้านปาตา</v>
      </c>
      <c r="G116" s="880"/>
      <c r="H116" s="880"/>
      <c r="I116" s="880"/>
      <c r="J116" s="880"/>
      <c r="K116" s="880"/>
      <c r="L116" s="882"/>
      <c r="M116" s="2652" t="s">
        <v>375</v>
      </c>
      <c r="N116" s="2654">
        <f>+N59</f>
        <v>2559</v>
      </c>
      <c r="O116" s="2654"/>
      <c r="Q116" s="2138"/>
    </row>
    <row r="117" spans="1:17" s="150" customFormat="1" ht="21.75" customHeight="1">
      <c r="A117" s="973" t="str">
        <f>+A60</f>
        <v>สถานที่ตั้ง</v>
      </c>
      <c r="B117" s="881"/>
      <c r="C117" s="881"/>
      <c r="D117" s="981" t="str">
        <f>+D60</f>
        <v>อำเภอ  ปะนาเระ,ยะหริ่ง จังหวัด ปัตตานี</v>
      </c>
      <c r="F117" s="883"/>
      <c r="G117" s="883"/>
      <c r="H117" s="973" t="str">
        <f>+H60</f>
        <v>ปริมาณดำเนินการ</v>
      </c>
      <c r="J117" s="1000">
        <f>+J60</f>
        <v>1</v>
      </c>
      <c r="K117" s="974" t="str">
        <f>+K60</f>
        <v>แห่ง</v>
      </c>
      <c r="L117" s="884"/>
      <c r="M117" s="2653"/>
      <c r="N117" s="2655"/>
      <c r="O117" s="2655"/>
      <c r="Q117" s="2138"/>
    </row>
    <row r="118" spans="1:17" s="150" customFormat="1">
      <c r="A118" s="2645" t="s">
        <v>0</v>
      </c>
      <c r="B118" s="2647" t="s">
        <v>41</v>
      </c>
      <c r="C118" s="2656"/>
      <c r="D118" s="2648"/>
      <c r="E118" s="2645" t="s">
        <v>22</v>
      </c>
      <c r="F118" s="2645" t="s">
        <v>23</v>
      </c>
      <c r="G118" s="2638" t="s">
        <v>24</v>
      </c>
      <c r="H118" s="2639"/>
      <c r="I118" s="2640"/>
      <c r="J118" s="2174" t="s">
        <v>25</v>
      </c>
      <c r="K118" s="2645" t="s">
        <v>2</v>
      </c>
      <c r="L118" s="2638" t="s">
        <v>398</v>
      </c>
      <c r="M118" s="2640"/>
      <c r="N118" s="2647" t="s">
        <v>19</v>
      </c>
      <c r="O118" s="2648"/>
      <c r="Q118" s="2138"/>
    </row>
    <row r="119" spans="1:17" s="150" customFormat="1">
      <c r="A119" s="2646"/>
      <c r="B119" s="2649"/>
      <c r="C119" s="2657"/>
      <c r="D119" s="2650"/>
      <c r="E119" s="2646"/>
      <c r="F119" s="2646"/>
      <c r="G119" s="2172" t="s">
        <v>26</v>
      </c>
      <c r="H119" s="2172" t="s">
        <v>27</v>
      </c>
      <c r="I119" s="2172" t="s">
        <v>28</v>
      </c>
      <c r="J119" s="2175" t="s">
        <v>29</v>
      </c>
      <c r="K119" s="2646"/>
      <c r="L119" s="2176" t="s">
        <v>234</v>
      </c>
      <c r="M119" s="2176" t="s">
        <v>28</v>
      </c>
      <c r="N119" s="2649"/>
      <c r="O119" s="2650"/>
      <c r="Q119" s="2138"/>
    </row>
    <row r="120" spans="1:17" s="180" customFormat="1">
      <c r="A120" s="190"/>
      <c r="B120" s="1061"/>
      <c r="C120" s="1183"/>
      <c r="D120" s="191" t="s">
        <v>132</v>
      </c>
      <c r="E120" s="196"/>
      <c r="F120" s="196"/>
      <c r="G120" s="196"/>
      <c r="H120" s="196"/>
      <c r="I120" s="196"/>
      <c r="J120" s="1184">
        <f>J114</f>
        <v>5534883.3000000007</v>
      </c>
      <c r="K120" s="1185"/>
      <c r="L120" s="1186"/>
      <c r="M120" s="1184">
        <f>M114</f>
        <v>7833001.1000000006</v>
      </c>
      <c r="N120" s="1061"/>
      <c r="O120" s="1062"/>
      <c r="Q120" s="2143"/>
    </row>
    <row r="121" spans="1:17" s="150" customFormat="1">
      <c r="A121" s="167"/>
      <c r="B121" s="156"/>
      <c r="C121" s="1110" t="s">
        <v>1839</v>
      </c>
      <c r="D121" s="1113" t="s">
        <v>237</v>
      </c>
      <c r="E121" s="1591"/>
      <c r="F121" s="1117" t="s">
        <v>39</v>
      </c>
      <c r="G121" s="1091">
        <f t="shared" si="32"/>
        <v>0</v>
      </c>
      <c r="H121" s="1091">
        <f t="shared" si="33"/>
        <v>0</v>
      </c>
      <c r="I121" s="1106">
        <f>ROUND(IF(E121&lt;=0,0,'NO DELETE'!AL65),2)</f>
        <v>0</v>
      </c>
      <c r="J121" s="1092">
        <f t="shared" si="35"/>
        <v>0</v>
      </c>
      <c r="K121" s="1085">
        <f>IF(E121&gt;0,'NO DELETE'!$Q$18,)</f>
        <v>0</v>
      </c>
      <c r="L121" s="1094">
        <f t="shared" si="30"/>
        <v>0</v>
      </c>
      <c r="M121" s="1094">
        <f t="shared" si="36"/>
        <v>0</v>
      </c>
      <c r="N121" s="1123"/>
      <c r="O121" s="1124"/>
      <c r="Q121" s="2138"/>
    </row>
    <row r="122" spans="1:17" s="150" customFormat="1">
      <c r="A122" s="167"/>
      <c r="B122" s="156"/>
      <c r="C122" s="1110" t="s">
        <v>1840</v>
      </c>
      <c r="D122" s="1127" t="s">
        <v>345</v>
      </c>
      <c r="E122" s="1591"/>
      <c r="F122" s="1117" t="s">
        <v>39</v>
      </c>
      <c r="G122" s="1091">
        <f t="shared" si="32"/>
        <v>0</v>
      </c>
      <c r="H122" s="1091">
        <f t="shared" si="33"/>
        <v>0</v>
      </c>
      <c r="I122" s="1106">
        <f>ROUND(IF(E122&lt;=0,0,90),2)</f>
        <v>0</v>
      </c>
      <c r="J122" s="1092">
        <f t="shared" si="35"/>
        <v>0</v>
      </c>
      <c r="K122" s="1085">
        <f>IF(E122&gt;0,'NO DELETE'!$Q$18,)</f>
        <v>0</v>
      </c>
      <c r="L122" s="1094">
        <f t="shared" si="30"/>
        <v>0</v>
      </c>
      <c r="M122" s="1094">
        <f t="shared" si="36"/>
        <v>0</v>
      </c>
      <c r="N122" s="1123"/>
      <c r="O122" s="1124"/>
      <c r="Q122" s="2138"/>
    </row>
    <row r="123" spans="1:17" s="150" customFormat="1">
      <c r="A123" s="167"/>
      <c r="B123" s="156"/>
      <c r="C123" s="1110" t="s">
        <v>1841</v>
      </c>
      <c r="D123" s="1113" t="s">
        <v>347</v>
      </c>
      <c r="E123" s="1591"/>
      <c r="F123" s="1117" t="s">
        <v>47</v>
      </c>
      <c r="G123" s="1091">
        <f t="shared" si="32"/>
        <v>0</v>
      </c>
      <c r="H123" s="1091">
        <f t="shared" si="33"/>
        <v>0</v>
      </c>
      <c r="I123" s="1106">
        <f>ROUND(IF(E123&lt;=0,0,'NO DELETE'!AL67),2)</f>
        <v>0</v>
      </c>
      <c r="J123" s="1092">
        <f t="shared" si="35"/>
        <v>0</v>
      </c>
      <c r="K123" s="1085">
        <f>IF(E123&gt;0,'NO DELETE'!$Q$18,)</f>
        <v>0</v>
      </c>
      <c r="L123" s="1094">
        <f t="shared" si="30"/>
        <v>0</v>
      </c>
      <c r="M123" s="1094">
        <f t="shared" si="36"/>
        <v>0</v>
      </c>
      <c r="N123" s="1123"/>
      <c r="O123" s="1124"/>
      <c r="Q123" s="2138"/>
    </row>
    <row r="124" spans="1:17" s="150" customFormat="1">
      <c r="A124" s="167"/>
      <c r="B124" s="156"/>
      <c r="C124" s="1110" t="s">
        <v>1842</v>
      </c>
      <c r="D124" s="1113" t="s">
        <v>238</v>
      </c>
      <c r="E124" s="1591"/>
      <c r="F124" s="1117" t="s">
        <v>47</v>
      </c>
      <c r="G124" s="1091">
        <f t="shared" si="32"/>
        <v>0</v>
      </c>
      <c r="H124" s="1091">
        <f t="shared" si="33"/>
        <v>0</v>
      </c>
      <c r="I124" s="1106">
        <f>ROUND(IF(E124&lt;=0,0,'NO DELETE'!AL68),2)</f>
        <v>0</v>
      </c>
      <c r="J124" s="1092">
        <f t="shared" si="35"/>
        <v>0</v>
      </c>
      <c r="K124" s="1085">
        <f>IF(E124&gt;0,'NO DELETE'!$Q$18,)</f>
        <v>0</v>
      </c>
      <c r="L124" s="1094">
        <f t="shared" si="30"/>
        <v>0</v>
      </c>
      <c r="M124" s="1094">
        <f t="shared" si="36"/>
        <v>0</v>
      </c>
      <c r="N124" s="1123"/>
      <c r="O124" s="1124"/>
      <c r="Q124" s="2138"/>
    </row>
    <row r="125" spans="1:17" s="150" customFormat="1">
      <c r="A125" s="167"/>
      <c r="B125" s="156"/>
      <c r="C125" s="1110" t="s">
        <v>1843</v>
      </c>
      <c r="D125" s="1113" t="s">
        <v>368</v>
      </c>
      <c r="E125" s="1591"/>
      <c r="F125" s="1117" t="s">
        <v>47</v>
      </c>
      <c r="G125" s="1091">
        <f>IF(E125&lt;=0,0,)</f>
        <v>0</v>
      </c>
      <c r="H125" s="1091">
        <f>IF(E125&lt;=0,0,)</f>
        <v>0</v>
      </c>
      <c r="I125" s="1106">
        <f>ROUND(IF(E125&lt;=0,0,'NO DELETE'!AL68),2)</f>
        <v>0</v>
      </c>
      <c r="J125" s="1092">
        <f>E125*I125</f>
        <v>0</v>
      </c>
      <c r="K125" s="1085">
        <f>IF(E125&gt;0,'NO DELETE'!$Q$18,)</f>
        <v>0</v>
      </c>
      <c r="L125" s="1094">
        <f t="shared" si="30"/>
        <v>0</v>
      </c>
      <c r="M125" s="1094">
        <f t="shared" si="36"/>
        <v>0</v>
      </c>
      <c r="N125" s="1123"/>
      <c r="O125" s="1124"/>
      <c r="Q125" s="2138"/>
    </row>
    <row r="126" spans="1:17" s="150" customFormat="1">
      <c r="A126" s="167"/>
      <c r="B126" s="156"/>
      <c r="C126" s="1110" t="s">
        <v>1844</v>
      </c>
      <c r="D126" s="1113" t="s">
        <v>350</v>
      </c>
      <c r="E126" s="1591"/>
      <c r="F126" s="1117" t="s">
        <v>119</v>
      </c>
      <c r="G126" s="1091">
        <f t="shared" si="32"/>
        <v>0</v>
      </c>
      <c r="H126" s="1091">
        <f t="shared" si="33"/>
        <v>0</v>
      </c>
      <c r="I126" s="1106">
        <f>ROUND(IF(E126&lt;=0,0,8000),2)</f>
        <v>0</v>
      </c>
      <c r="J126" s="1092">
        <f t="shared" si="35"/>
        <v>0</v>
      </c>
      <c r="K126" s="1085">
        <f>IF(E126&gt;0,'NO DELETE'!$Q$18,)</f>
        <v>0</v>
      </c>
      <c r="L126" s="1094">
        <f t="shared" si="30"/>
        <v>0</v>
      </c>
      <c r="M126" s="1094">
        <f t="shared" si="36"/>
        <v>0</v>
      </c>
      <c r="N126" s="1123"/>
      <c r="O126" s="1124"/>
      <c r="Q126" s="2138"/>
    </row>
    <row r="127" spans="1:17" s="150" customFormat="1">
      <c r="A127" s="167"/>
      <c r="B127" s="156"/>
      <c r="C127" s="1110" t="s">
        <v>1845</v>
      </c>
      <c r="D127" s="1113" t="s">
        <v>352</v>
      </c>
      <c r="E127" s="1591"/>
      <c r="F127" s="1117" t="s">
        <v>120</v>
      </c>
      <c r="G127" s="1091">
        <f t="shared" si="32"/>
        <v>0</v>
      </c>
      <c r="H127" s="1091">
        <f t="shared" si="33"/>
        <v>0</v>
      </c>
      <c r="I127" s="1106">
        <f>ROUND(IF(E127&lt;=0,0,215),2)</f>
        <v>0</v>
      </c>
      <c r="J127" s="1092">
        <f t="shared" si="35"/>
        <v>0</v>
      </c>
      <c r="K127" s="1085">
        <f>IF(E127&gt;0,'NO DELETE'!$Q$18,)</f>
        <v>0</v>
      </c>
      <c r="L127" s="1094">
        <f t="shared" si="30"/>
        <v>0</v>
      </c>
      <c r="M127" s="1094">
        <f t="shared" si="36"/>
        <v>0</v>
      </c>
      <c r="N127" s="1123"/>
      <c r="O127" s="1124"/>
      <c r="Q127" s="2138"/>
    </row>
    <row r="128" spans="1:17" s="150" customFormat="1">
      <c r="A128" s="167"/>
      <c r="B128" s="156"/>
      <c r="C128" s="1110" t="s">
        <v>1846</v>
      </c>
      <c r="D128" s="1118" t="str">
        <f>+VLOOKUP('NO DELETE'!AV11,'NO DELETE'!AQ11:AS13,2)</f>
        <v>สัญญาณไฟกระพริบ + ป้าย บ 1 Size 2</v>
      </c>
      <c r="E128" s="1591"/>
      <c r="F128" s="1117" t="s">
        <v>119</v>
      </c>
      <c r="G128" s="1091">
        <f t="shared" si="32"/>
        <v>0</v>
      </c>
      <c r="H128" s="1091">
        <f t="shared" si="33"/>
        <v>0</v>
      </c>
      <c r="I128" s="1106">
        <f>ROUND(IF(E128&gt;0,VLOOKUP('NO DELETE'!AV11,'NO DELETE'!AQ11:AW17,7)),2)</f>
        <v>0</v>
      </c>
      <c r="J128" s="1092">
        <f t="shared" si="35"/>
        <v>0</v>
      </c>
      <c r="K128" s="1085">
        <f>IF(E128&gt;0,'NO DELETE'!$Q$18,)</f>
        <v>0</v>
      </c>
      <c r="L128" s="1094">
        <f t="shared" si="30"/>
        <v>0</v>
      </c>
      <c r="M128" s="1094">
        <f t="shared" si="36"/>
        <v>0</v>
      </c>
      <c r="N128" s="1123"/>
      <c r="O128" s="1124"/>
      <c r="Q128" s="2138"/>
    </row>
    <row r="129" spans="1:17" s="150" customFormat="1">
      <c r="A129" s="167"/>
      <c r="B129" s="156"/>
      <c r="C129" s="1110" t="s">
        <v>1847</v>
      </c>
      <c r="D129" s="1113" t="s">
        <v>355</v>
      </c>
      <c r="E129" s="1591"/>
      <c r="F129" s="1117" t="s">
        <v>119</v>
      </c>
      <c r="G129" s="1091">
        <f t="shared" si="32"/>
        <v>0</v>
      </c>
      <c r="H129" s="1091">
        <f t="shared" si="33"/>
        <v>0</v>
      </c>
      <c r="I129" s="1106">
        <f>ROUND(IF(E129&lt;=0,0,5000),2)</f>
        <v>0</v>
      </c>
      <c r="J129" s="1092">
        <f t="shared" si="35"/>
        <v>0</v>
      </c>
      <c r="K129" s="1085">
        <f>IF(E129&gt;0,'NO DELETE'!$Q$18,)</f>
        <v>0</v>
      </c>
      <c r="L129" s="1094">
        <f t="shared" si="30"/>
        <v>0</v>
      </c>
      <c r="M129" s="1094">
        <f t="shared" si="36"/>
        <v>0</v>
      </c>
      <c r="N129" s="1123"/>
      <c r="O129" s="1124"/>
      <c r="Q129" s="2138"/>
    </row>
    <row r="130" spans="1:17" s="150" customFormat="1">
      <c r="A130" s="167"/>
      <c r="B130" s="156"/>
      <c r="C130" s="1110" t="s">
        <v>1848</v>
      </c>
      <c r="D130" s="1113" t="s">
        <v>650</v>
      </c>
      <c r="E130" s="1468">
        <v>1</v>
      </c>
      <c r="F130" s="1117" t="s">
        <v>1211</v>
      </c>
      <c r="G130" s="1091">
        <f t="shared" si="32"/>
        <v>0</v>
      </c>
      <c r="H130" s="1091">
        <f t="shared" si="33"/>
        <v>0</v>
      </c>
      <c r="I130" s="1106">
        <f>+VLOOKUP('NO DELETE'!AD49,'NO DELETE'!AA49:AC54,3)</f>
        <v>10737</v>
      </c>
      <c r="J130" s="1092">
        <f t="shared" si="35"/>
        <v>10737</v>
      </c>
      <c r="K130" s="1085">
        <f>IF(E130&gt;0,'NO DELETE'!$Q$18,)</f>
        <v>1.4152</v>
      </c>
      <c r="L130" s="1094">
        <f t="shared" si="30"/>
        <v>15195</v>
      </c>
      <c r="M130" s="1094">
        <f t="shared" si="36"/>
        <v>15195</v>
      </c>
      <c r="N130" s="1123"/>
      <c r="O130" s="1124"/>
      <c r="Q130" s="2138"/>
    </row>
    <row r="131" spans="1:17" s="150" customFormat="1">
      <c r="A131" s="167"/>
      <c r="B131" s="156"/>
      <c r="C131" s="1110" t="s">
        <v>1849</v>
      </c>
      <c r="D131" s="1119" t="s">
        <v>358</v>
      </c>
      <c r="E131" s="1468">
        <v>0</v>
      </c>
      <c r="F131" s="1117" t="s">
        <v>47</v>
      </c>
      <c r="G131" s="1091">
        <f t="shared" si="32"/>
        <v>0</v>
      </c>
      <c r="H131" s="1091">
        <f t="shared" si="33"/>
        <v>0</v>
      </c>
      <c r="I131" s="1106">
        <f>ROUND(IF(E131&lt;=0,0,'NO DELETE'!AL69),2)</f>
        <v>0</v>
      </c>
      <c r="J131" s="1092">
        <f t="shared" si="35"/>
        <v>0</v>
      </c>
      <c r="K131" s="1085">
        <f>IF(E131&gt;0,'NO DELETE'!$Q$18,)</f>
        <v>0</v>
      </c>
      <c r="L131" s="1094">
        <f t="shared" si="30"/>
        <v>0</v>
      </c>
      <c r="M131" s="1094">
        <f t="shared" si="36"/>
        <v>0</v>
      </c>
      <c r="N131" s="1123"/>
      <c r="O131" s="1124"/>
      <c r="Q131" s="2138"/>
    </row>
    <row r="132" spans="1:17" s="150" customFormat="1">
      <c r="A132" s="167"/>
      <c r="B132" s="153"/>
      <c r="C132" s="1110" t="s">
        <v>1953</v>
      </c>
      <c r="D132" s="1119" t="s">
        <v>1954</v>
      </c>
      <c r="E132" s="1468">
        <v>0</v>
      </c>
      <c r="F132" s="1117" t="s">
        <v>31</v>
      </c>
      <c r="G132" s="1091">
        <f t="shared" ref="G132" si="42">IF(E132&lt;=0,0,)</f>
        <v>0</v>
      </c>
      <c r="H132" s="1091">
        <f t="shared" ref="H132" si="43">IF(E132&lt;=0,0,)</f>
        <v>0</v>
      </c>
      <c r="I132" s="1106">
        <f>ROUND(IF(E132&lt;=0,0,0.5),2)</f>
        <v>0</v>
      </c>
      <c r="J132" s="1092">
        <f t="shared" ref="J132" si="44">E132*I132</f>
        <v>0</v>
      </c>
      <c r="K132" s="1085">
        <f>IF(E132&gt;0,'NO DELETE'!$Q$18,)</f>
        <v>0</v>
      </c>
      <c r="L132" s="1094">
        <f t="shared" ref="L132" si="45">ROUND(K132*I132,1)</f>
        <v>0</v>
      </c>
      <c r="M132" s="1094">
        <f t="shared" ref="M132" si="46">L132*E132</f>
        <v>0</v>
      </c>
      <c r="N132" s="1123"/>
      <c r="O132" s="1124"/>
      <c r="Q132" s="2138"/>
    </row>
    <row r="133" spans="1:17" s="150" customFormat="1">
      <c r="A133" s="176">
        <v>6</v>
      </c>
      <c r="B133" s="177" t="s">
        <v>428</v>
      </c>
      <c r="C133" s="187"/>
      <c r="D133" s="187"/>
      <c r="E133" s="185"/>
      <c r="F133" s="192"/>
      <c r="G133" s="161"/>
      <c r="H133" s="161"/>
      <c r="I133" s="179"/>
      <c r="J133" s="162"/>
      <c r="K133" s="157"/>
      <c r="L133" s="157"/>
      <c r="M133" s="157"/>
      <c r="N133" s="156"/>
      <c r="O133" s="164"/>
      <c r="Q133" s="2138"/>
    </row>
    <row r="134" spans="1:17" s="150" customFormat="1">
      <c r="A134" s="176"/>
      <c r="B134" s="1136">
        <v>6.1</v>
      </c>
      <c r="C134" s="187" t="s">
        <v>566</v>
      </c>
      <c r="D134" s="187"/>
      <c r="E134" s="185"/>
      <c r="F134" s="192"/>
      <c r="G134" s="161"/>
      <c r="H134" s="161"/>
      <c r="I134" s="179"/>
      <c r="J134" s="162"/>
      <c r="K134" s="157"/>
      <c r="L134" s="157"/>
      <c r="M134" s="157"/>
      <c r="N134" s="156"/>
      <c r="O134" s="164"/>
      <c r="Q134" s="2138"/>
    </row>
    <row r="135" spans="1:17" s="150" customFormat="1">
      <c r="A135" s="167"/>
      <c r="B135" s="187"/>
      <c r="C135" s="2660" t="str">
        <f>" 6.1.1 ท่อ คสล. "&amp;VLOOKUP('NO DELETE'!H1,'NO DELETE'!$A$4:$C$18,2)</f>
        <v xml:space="preserve"> 6.1.1 ท่อ คสล.  ขนาด Dia. 1 - 0.80 ม. x 1.00 ม.</v>
      </c>
      <c r="D135" s="2661"/>
      <c r="E135" s="2333"/>
      <c r="F135" s="1128" t="s">
        <v>47</v>
      </c>
      <c r="G135" s="1083">
        <v>0</v>
      </c>
      <c r="H135" s="1083">
        <v>0</v>
      </c>
      <c r="I135" s="1112">
        <f>IF(E135&gt;0,'3.ต้นทุนวางท่อ'!N69,)</f>
        <v>0</v>
      </c>
      <c r="J135" s="1129">
        <f>E135*I135</f>
        <v>0</v>
      </c>
      <c r="K135" s="1085">
        <f>IF(E135&gt;0,'NO DELETE'!$Q$18,)</f>
        <v>0</v>
      </c>
      <c r="L135" s="1086">
        <f>ROUND(K135*I135,1)</f>
        <v>0</v>
      </c>
      <c r="M135" s="1086">
        <f>L135*E135</f>
        <v>0</v>
      </c>
      <c r="N135" s="1087"/>
      <c r="O135" s="1088"/>
      <c r="Q135" s="2138"/>
    </row>
    <row r="136" spans="1:17" s="150" customFormat="1">
      <c r="A136" s="167"/>
      <c r="B136" s="187"/>
      <c r="C136" s="2658" t="str">
        <f>" 6.1.2 ท่อ คสล. "&amp;VLOOKUP('NO DELETE'!I1,'NO DELETE'!$A$4:$C$18,2)</f>
        <v xml:space="preserve"> 6.1.2 ท่อ คสล.  ขนาด Dia. 2 - 1.00 ม. x 1.00 ม.</v>
      </c>
      <c r="D136" s="2659"/>
      <c r="E136" s="2333"/>
      <c r="F136" s="1117" t="s">
        <v>47</v>
      </c>
      <c r="G136" s="1091">
        <v>0</v>
      </c>
      <c r="H136" s="1091">
        <v>0</v>
      </c>
      <c r="I136" s="1106">
        <f>IF(E136&gt;0,'3.ต้นทุนวางท่อ'!N78,)</f>
        <v>0</v>
      </c>
      <c r="J136" s="1130">
        <f>E136*I136</f>
        <v>0</v>
      </c>
      <c r="K136" s="1085">
        <f>IF(E136&gt;0,'NO DELETE'!$Q$18,)</f>
        <v>0</v>
      </c>
      <c r="L136" s="1094">
        <f>ROUND(K136*I136,1)</f>
        <v>0</v>
      </c>
      <c r="M136" s="1094">
        <f>L136*E136</f>
        <v>0</v>
      </c>
      <c r="N136" s="1097"/>
      <c r="O136" s="1098"/>
      <c r="Q136" s="2138"/>
    </row>
    <row r="137" spans="1:17" s="150" customFormat="1">
      <c r="A137" s="167"/>
      <c r="B137" s="187"/>
      <c r="C137" s="2658" t="str">
        <f>" 6.1.3 ท่อ คสล. "&amp;VLOOKUP('NO DELETE'!J1,'NO DELETE'!$A$4:$C$18,2)</f>
        <v xml:space="preserve"> 6.1.3 ท่อ คสล.  ขนาด Dia. 1 - 1.00 ม. x 1.00 ม.</v>
      </c>
      <c r="D137" s="2659"/>
      <c r="E137" s="2333"/>
      <c r="F137" s="1117" t="s">
        <v>47</v>
      </c>
      <c r="G137" s="1091">
        <v>0</v>
      </c>
      <c r="H137" s="1091">
        <v>0</v>
      </c>
      <c r="I137" s="1106">
        <f>IF(E137&gt;0,'3.ต้นทุนวางท่อ'!N87,)</f>
        <v>0</v>
      </c>
      <c r="J137" s="1130">
        <f>E137*I137</f>
        <v>0</v>
      </c>
      <c r="K137" s="1085">
        <f>IF(E137&gt;0,'NO DELETE'!$Q$18,)</f>
        <v>0</v>
      </c>
      <c r="L137" s="1094">
        <f>ROUND(K137*I137,1)</f>
        <v>0</v>
      </c>
      <c r="M137" s="1094">
        <f>L137*E137</f>
        <v>0</v>
      </c>
      <c r="N137" s="1097"/>
      <c r="O137" s="1098"/>
      <c r="Q137" s="2138"/>
    </row>
    <row r="138" spans="1:17" s="150" customFormat="1">
      <c r="A138" s="167"/>
      <c r="B138" s="187"/>
      <c r="C138" s="2658" t="str">
        <f>" 6.1.4 ท่อ คสล. "&amp;VLOOKUP('NO DELETE'!K1,'NO DELETE'!$A$4:$C$18,2)</f>
        <v xml:space="preserve"> 6.1.4 ท่อ คสล.  ขนาด Dia. 1 - 1.20 ม. x 1.00 ม.</v>
      </c>
      <c r="D138" s="2659"/>
      <c r="E138" s="2333"/>
      <c r="F138" s="1117" t="s">
        <v>47</v>
      </c>
      <c r="G138" s="1091">
        <v>0</v>
      </c>
      <c r="H138" s="1091">
        <v>0</v>
      </c>
      <c r="I138" s="1106">
        <f>IF(E138&gt;0,'3.ต้นทุนวางท่อ'!N96,)</f>
        <v>0</v>
      </c>
      <c r="J138" s="1130">
        <f>E138*I138</f>
        <v>0</v>
      </c>
      <c r="K138" s="1085">
        <f>IF(E138&gt;0,'NO DELETE'!$Q$18,)</f>
        <v>0</v>
      </c>
      <c r="L138" s="1094">
        <f>ROUND(K138*I138,1)</f>
        <v>0</v>
      </c>
      <c r="M138" s="1094">
        <f>L138*E138</f>
        <v>0</v>
      </c>
      <c r="N138" s="1097"/>
      <c r="O138" s="1098"/>
      <c r="Q138" s="2138"/>
    </row>
    <row r="139" spans="1:17" s="150" customFormat="1">
      <c r="A139" s="167"/>
      <c r="B139" s="187"/>
      <c r="C139" s="2658" t="str">
        <f>" 6.1.5 ท่อ คสล. "&amp;VLOOKUP('NO DELETE'!L1,'NO DELETE'!$A$4:$C$18,2)</f>
        <v xml:space="preserve"> 6.1.5 ท่อ คสล.  ขนาด Dia. 1 - 1.50 ม. x 1.00 ม.</v>
      </c>
      <c r="D139" s="2659"/>
      <c r="E139" s="2333"/>
      <c r="F139" s="1117" t="s">
        <v>47</v>
      </c>
      <c r="G139" s="1091">
        <v>0</v>
      </c>
      <c r="H139" s="1091">
        <v>0</v>
      </c>
      <c r="I139" s="1106">
        <f>IF(E139&gt;0,'3.ต้นทุนวางท่อ'!N105,)</f>
        <v>0</v>
      </c>
      <c r="J139" s="1130">
        <f>E139*I139</f>
        <v>0</v>
      </c>
      <c r="K139" s="1093">
        <f>IF(E139&gt;0,'NO DELETE'!$Q$18,)</f>
        <v>0</v>
      </c>
      <c r="L139" s="1094">
        <f>ROUND(K139*I139,1)</f>
        <v>0</v>
      </c>
      <c r="M139" s="1094">
        <f>L139*E139</f>
        <v>0</v>
      </c>
      <c r="N139" s="1097"/>
      <c r="O139" s="1098"/>
      <c r="Q139" s="2138"/>
    </row>
    <row r="140" spans="1:17" s="150" customFormat="1">
      <c r="A140" s="167"/>
      <c r="B140" s="1136">
        <v>6.2</v>
      </c>
      <c r="C140" s="187" t="s">
        <v>567</v>
      </c>
      <c r="D140" s="187"/>
      <c r="E140" s="185"/>
      <c r="F140" s="192"/>
      <c r="G140" s="161"/>
      <c r="H140" s="161"/>
      <c r="I140" s="179"/>
      <c r="J140" s="162"/>
      <c r="K140" s="163"/>
      <c r="L140" s="157"/>
      <c r="M140" s="157"/>
      <c r="N140" s="156"/>
      <c r="O140" s="164"/>
      <c r="Q140" s="2138"/>
    </row>
    <row r="141" spans="1:17" s="150" customFormat="1">
      <c r="A141" s="167"/>
      <c r="B141" s="198"/>
      <c r="C141" s="2660" t="str">
        <f>" 6.2.1  "&amp;VLOOKUP('NO DELETE'!$J$20,'NO DELETE'!$A$23:$D$38,2)</f>
        <v xml:space="preserve"> 6.2.1  กำแพงปากท่อ ขนาด  1 -   Dia.  1.00  ม. HW + EW</v>
      </c>
      <c r="D141" s="2661"/>
      <c r="E141" s="2333"/>
      <c r="F141" s="1128" t="s">
        <v>119</v>
      </c>
      <c r="G141" s="1083">
        <v>0</v>
      </c>
      <c r="H141" s="1083">
        <v>0</v>
      </c>
      <c r="I141" s="1112">
        <f>IF(E141&gt;0,'3.ต้นทุนวางท่อ'!N118,)</f>
        <v>0</v>
      </c>
      <c r="J141" s="1129">
        <f>E141*I141</f>
        <v>0</v>
      </c>
      <c r="K141" s="1085">
        <f>IF(E141&gt;0,'NO DELETE'!$Q$18,)</f>
        <v>0</v>
      </c>
      <c r="L141" s="1086">
        <f t="shared" ref="L141:L152" si="47">ROUND(K141*I141,1)</f>
        <v>0</v>
      </c>
      <c r="M141" s="1086">
        <f>L141*E141</f>
        <v>0</v>
      </c>
      <c r="N141" s="1087"/>
      <c r="O141" s="1088"/>
      <c r="Q141" s="2138"/>
    </row>
    <row r="142" spans="1:17" s="150" customFormat="1">
      <c r="A142" s="167"/>
      <c r="B142" s="198"/>
      <c r="C142" s="2658" t="str">
        <f>" 6.2.2  "&amp;VLOOKUP('NO DELETE'!$K$20,'NO DELETE'!$A$23:$D$38,2)</f>
        <v xml:space="preserve"> 6.2.2  กำแพงปากท่อ ขนาด  2  -  Dia.  1.00  ม.HW + EW</v>
      </c>
      <c r="D142" s="2659"/>
      <c r="E142" s="2334"/>
      <c r="F142" s="1117" t="s">
        <v>119</v>
      </c>
      <c r="G142" s="1091">
        <v>0</v>
      </c>
      <c r="H142" s="1091">
        <v>0</v>
      </c>
      <c r="I142" s="1106">
        <f>IF(E142&gt;0,'3.ต้นทุนวางท่อ'!N130,)</f>
        <v>0</v>
      </c>
      <c r="J142" s="1130">
        <f>E142*I142</f>
        <v>0</v>
      </c>
      <c r="K142" s="1085">
        <f>IF(E142&gt;0,'NO DELETE'!$Q$18,)</f>
        <v>0</v>
      </c>
      <c r="L142" s="1094">
        <f t="shared" si="47"/>
        <v>0</v>
      </c>
      <c r="M142" s="1094">
        <f>L142*E142</f>
        <v>0</v>
      </c>
      <c r="N142" s="1097"/>
      <c r="O142" s="1098"/>
      <c r="Q142" s="2138"/>
    </row>
    <row r="143" spans="1:17" s="150" customFormat="1">
      <c r="A143" s="167"/>
      <c r="B143" s="198"/>
      <c r="C143" s="2658" t="str">
        <f>" 6.2.3  "&amp;VLOOKUP('NO DELETE'!$L$20,'NO DELETE'!$A$23:$D$38,2)</f>
        <v xml:space="preserve"> 6.2.3  กำแพงปากท่อ ขนาด  3  -  Dia.  1.00  ม.HW + EW</v>
      </c>
      <c r="D143" s="2659"/>
      <c r="E143" s="2334"/>
      <c r="F143" s="1117" t="s">
        <v>119</v>
      </c>
      <c r="G143" s="1091">
        <v>0</v>
      </c>
      <c r="H143" s="1091">
        <v>0</v>
      </c>
      <c r="I143" s="1106">
        <f>IF(E143&gt;0,'3.ต้นทุนวางท่อ'!N142,)</f>
        <v>0</v>
      </c>
      <c r="J143" s="1130">
        <f>E143*I143</f>
        <v>0</v>
      </c>
      <c r="K143" s="1085">
        <f>IF(E143&gt;0,'NO DELETE'!$Q$18,)</f>
        <v>0</v>
      </c>
      <c r="L143" s="1094">
        <f t="shared" si="47"/>
        <v>0</v>
      </c>
      <c r="M143" s="1094">
        <f>L143*E143</f>
        <v>0</v>
      </c>
      <c r="N143" s="1097"/>
      <c r="O143" s="1098"/>
      <c r="Q143" s="2138"/>
    </row>
    <row r="144" spans="1:17" s="150" customFormat="1">
      <c r="A144" s="167"/>
      <c r="B144" s="198"/>
      <c r="C144" s="2658" t="str">
        <f>" 6.2.4  "&amp;VLOOKUP('NO DELETE'!$M$20,'NO DELETE'!$A$23:$D$38,2)</f>
        <v xml:space="preserve"> 6.2.4  กำแพงปากท่อ ขนาด  3  -  Dia.  1.00  ม.HW + EW</v>
      </c>
      <c r="D144" s="2659"/>
      <c r="E144" s="2334"/>
      <c r="F144" s="1117" t="s">
        <v>119</v>
      </c>
      <c r="G144" s="1091">
        <v>0</v>
      </c>
      <c r="H144" s="1091">
        <v>0</v>
      </c>
      <c r="I144" s="1106">
        <f>IF(E144&gt;0,'3.ต้นทุนวางท่อ'!N154,)</f>
        <v>0</v>
      </c>
      <c r="J144" s="1130">
        <f>E144*I144</f>
        <v>0</v>
      </c>
      <c r="K144" s="1085">
        <f>IF(E144&gt;0,'NO DELETE'!$Q$18,)</f>
        <v>0</v>
      </c>
      <c r="L144" s="1094">
        <f t="shared" si="47"/>
        <v>0</v>
      </c>
      <c r="M144" s="1094">
        <f>L144*E144</f>
        <v>0</v>
      </c>
      <c r="N144" s="1097"/>
      <c r="O144" s="1098"/>
      <c r="Q144" s="2138"/>
    </row>
    <row r="145" spans="1:17" s="150" customFormat="1">
      <c r="A145" s="167"/>
      <c r="B145" s="198"/>
      <c r="C145" s="2658" t="str">
        <f>" 6.2.5  "&amp;VLOOKUP('NO DELETE'!$N$20,'NO DELETE'!$A$23:$D$38,2)</f>
        <v xml:space="preserve"> 6.2.5  กำแพงปากท่อ ขนาด  3  -  Dia.  1.00  ม.HW + EW</v>
      </c>
      <c r="D145" s="2659"/>
      <c r="E145" s="2334"/>
      <c r="F145" s="1117" t="s">
        <v>119</v>
      </c>
      <c r="G145" s="1091">
        <v>0</v>
      </c>
      <c r="H145" s="1091">
        <v>0</v>
      </c>
      <c r="I145" s="1106">
        <f>IF(E145&gt;0,'3.ต้นทุนวางท่อ'!N166,)</f>
        <v>0</v>
      </c>
      <c r="J145" s="1130">
        <f>E145*I145</f>
        <v>0</v>
      </c>
      <c r="K145" s="1085">
        <f>IF(E145&gt;0,'NO DELETE'!$Q$18,)</f>
        <v>0</v>
      </c>
      <c r="L145" s="1094">
        <f t="shared" si="47"/>
        <v>0</v>
      </c>
      <c r="M145" s="1094">
        <f>L145*E145</f>
        <v>0</v>
      </c>
      <c r="N145" s="1097"/>
      <c r="O145" s="1098"/>
      <c r="Q145" s="2138"/>
    </row>
    <row r="146" spans="1:17" s="150" customFormat="1">
      <c r="A146" s="167"/>
      <c r="B146" s="1136">
        <v>6.3</v>
      </c>
      <c r="C146" s="1113" t="str">
        <f>+VLOOKUP(บ่อพักน้ำใต้ทางเท้า!X1,บ่อพักน้ำใต้ทางเท้า!$AI$1:$AJ$4,2)</f>
        <v>บ่อพักน้ำ คสล.ท่อกลมสองด้านเท่ากัน Dia.1.00 ม.</v>
      </c>
      <c r="D146" s="2410"/>
      <c r="E146" s="2334">
        <v>1</v>
      </c>
      <c r="F146" s="1117" t="s">
        <v>119</v>
      </c>
      <c r="G146" s="1091">
        <f>+IF(E146&gt;0,'4.ต้นทุนระบายน้ำ'!N171,)</f>
        <v>12421.76</v>
      </c>
      <c r="H146" s="1091">
        <f>+IF(E146&gt;0,'4.ต้นทุนระบายน้ำ'!N175,)</f>
        <v>1479.37</v>
      </c>
      <c r="I146" s="1106">
        <f>SUM(G146:H146)</f>
        <v>13901.130000000001</v>
      </c>
      <c r="J146" s="1130">
        <f t="shared" ref="J146:J149" si="48">E146*I146</f>
        <v>13901.130000000001</v>
      </c>
      <c r="K146" s="1085">
        <f>IF(E146&gt;0,'NO DELETE'!$Q$18,)</f>
        <v>1.4152</v>
      </c>
      <c r="L146" s="1094">
        <f t="shared" ref="L146:L149" si="49">ROUND(K146*I146,1)</f>
        <v>19672.900000000001</v>
      </c>
      <c r="M146" s="1094">
        <f t="shared" ref="M146:M149" si="50">L146*E146</f>
        <v>19672.900000000001</v>
      </c>
      <c r="N146" s="1097"/>
      <c r="O146" s="1098"/>
      <c r="Q146" s="2138"/>
    </row>
    <row r="147" spans="1:17" s="150" customFormat="1">
      <c r="A147" s="167"/>
      <c r="B147" s="1136">
        <v>6.3</v>
      </c>
      <c r="C147" s="1113" t="str">
        <f>+VLOOKUP(บ่อพักน้ำใต้ทางเท้า!X2,บ่อพักน้ำใต้ทางเท้า!$AR$1:$AS$4,2)</f>
        <v>บ่อพักน้ำ คสล.ท่อกลมสามด้านเท่ากัน Dia.1.00 ม.</v>
      </c>
      <c r="D147" s="2410"/>
      <c r="E147" s="2334">
        <v>1</v>
      </c>
      <c r="F147" s="1117" t="s">
        <v>119</v>
      </c>
      <c r="G147" s="1091">
        <f>+IF(E147&gt;0,'4.ต้นทุนระบายน้ำ'!N191,)</f>
        <v>11962.99</v>
      </c>
      <c r="H147" s="1091">
        <f>+IF(E147&gt;0,'4.ต้นทุนระบายน้ำ'!N195,)</f>
        <v>1429.43</v>
      </c>
      <c r="I147" s="1106">
        <f>SUM(G147:H147)</f>
        <v>13392.42</v>
      </c>
      <c r="J147" s="1130">
        <f t="shared" ref="J147" si="51">E147*I147</f>
        <v>13392.42</v>
      </c>
      <c r="K147" s="1085">
        <f>IF(E147&gt;0,'NO DELETE'!$Q$18,)</f>
        <v>1.4152</v>
      </c>
      <c r="L147" s="1094">
        <f t="shared" si="49"/>
        <v>18953</v>
      </c>
      <c r="M147" s="1094">
        <f t="shared" si="50"/>
        <v>18953</v>
      </c>
      <c r="N147" s="1097"/>
      <c r="O147" s="1098"/>
      <c r="Q147" s="2138"/>
    </row>
    <row r="148" spans="1:17" s="150" customFormat="1">
      <c r="A148" s="167"/>
      <c r="B148" s="1136">
        <v>6.3</v>
      </c>
      <c r="C148" s="1113" t="str">
        <f>+VLOOKUP(บ่อพักน้ำใต้ทางเท้า!X3,บ่อพักน้ำใต้ทางเท้า!$BA$1:$BB$4,2)</f>
        <v>บ่อพักน้ำ คสล.ท่อกลมสี่ด้านเท่ากัน Dia.1.00 ม.</v>
      </c>
      <c r="D148" s="2410"/>
      <c r="E148" s="2334">
        <v>1</v>
      </c>
      <c r="F148" s="1117" t="s">
        <v>119</v>
      </c>
      <c r="G148" s="1091">
        <f>+IF(E148&gt;0,'4.ต้นทุนระบายน้ำ'!N211,)</f>
        <v>11547.45</v>
      </c>
      <c r="H148" s="1091">
        <f>+IF(E148&gt;0,'4.ต้นทุนระบายน้ำ'!N215,)</f>
        <v>1379.54</v>
      </c>
      <c r="I148" s="1106">
        <f>SUM(G148:H148)</f>
        <v>12926.990000000002</v>
      </c>
      <c r="J148" s="1130">
        <f t="shared" si="48"/>
        <v>12926.990000000002</v>
      </c>
      <c r="K148" s="1085">
        <f>IF(E148&gt;0,'NO DELETE'!$Q$18,)</f>
        <v>1.4152</v>
      </c>
      <c r="L148" s="1094">
        <f t="shared" si="49"/>
        <v>18294.3</v>
      </c>
      <c r="M148" s="1094">
        <f t="shared" si="50"/>
        <v>18294.3</v>
      </c>
      <c r="N148" s="1097"/>
      <c r="O148" s="1098"/>
      <c r="Q148" s="2138"/>
    </row>
    <row r="149" spans="1:17" s="150" customFormat="1">
      <c r="A149" s="167"/>
      <c r="B149" s="1136">
        <v>6.3</v>
      </c>
      <c r="C149" s="1113" t="str">
        <f>+VLOOKUP(บ่อพักน้ำใต้ทางเท้า!X4,บ่อพักน้ำใต้ทางเท้า!BJ1:$BK$4,2)</f>
        <v>บ่อพักน้ำ คสล.ท่อกลมด้านเดียว Dia.1.00 ม.</v>
      </c>
      <c r="D149" s="2410"/>
      <c r="E149" s="2334">
        <v>1</v>
      </c>
      <c r="F149" s="1117" t="s">
        <v>119</v>
      </c>
      <c r="G149" s="1091">
        <f>+IF(E149&gt;0,'4.ต้นทุนระบายน้ำ'!N231,)</f>
        <v>12770.08</v>
      </c>
      <c r="H149" s="1091">
        <f>+IF(E149&gt;0,'4.ต้นทุนระบายน้ำ'!N235,)</f>
        <v>1529.27</v>
      </c>
      <c r="I149" s="1106">
        <f>SUM(G149:H149)</f>
        <v>14299.35</v>
      </c>
      <c r="J149" s="1130">
        <f t="shared" si="48"/>
        <v>14299.35</v>
      </c>
      <c r="K149" s="1085">
        <f>IF(E149&gt;0,'NO DELETE'!$Q$18,)</f>
        <v>1.4152</v>
      </c>
      <c r="L149" s="1094">
        <f t="shared" si="49"/>
        <v>20236.400000000001</v>
      </c>
      <c r="M149" s="1094">
        <f t="shared" si="50"/>
        <v>20236.400000000001</v>
      </c>
      <c r="N149" s="1097"/>
      <c r="O149" s="1098"/>
      <c r="Q149" s="2138"/>
    </row>
    <row r="150" spans="1:17" s="150" customFormat="1">
      <c r="A150" s="184"/>
      <c r="B150" s="199">
        <v>6.3</v>
      </c>
      <c r="C150" s="2328" t="s">
        <v>2068</v>
      </c>
      <c r="D150" s="1113"/>
      <c r="E150" s="2335"/>
      <c r="F150" s="1117" t="s">
        <v>119</v>
      </c>
      <c r="G150" s="1091">
        <v>0</v>
      </c>
      <c r="H150" s="1091">
        <f>IF(E150&lt;=0,0,0)</f>
        <v>0</v>
      </c>
      <c r="I150" s="1092">
        <v>0</v>
      </c>
      <c r="J150" s="1130">
        <f t="shared" ref="J150:J156" si="52">E150*I150</f>
        <v>0</v>
      </c>
      <c r="K150" s="1085">
        <f>+'S2'!BK38</f>
        <v>1.2436</v>
      </c>
      <c r="L150" s="1094">
        <f t="shared" si="47"/>
        <v>0</v>
      </c>
      <c r="M150" s="1094">
        <f t="shared" ref="M150:M156" si="53">L150*E150</f>
        <v>0</v>
      </c>
      <c r="N150" s="1131"/>
      <c r="O150" s="1098"/>
      <c r="Q150" s="2138"/>
    </row>
    <row r="151" spans="1:17" s="150" customFormat="1">
      <c r="A151" s="184"/>
      <c r="B151" s="199">
        <v>6.4</v>
      </c>
      <c r="C151" s="2328" t="s">
        <v>2068</v>
      </c>
      <c r="D151" s="1113"/>
      <c r="E151" s="2335"/>
      <c r="F151" s="1117" t="s">
        <v>119</v>
      </c>
      <c r="G151" s="1091">
        <v>0</v>
      </c>
      <c r="H151" s="1091">
        <f>IF(E151&lt;=0,0,0)</f>
        <v>0</v>
      </c>
      <c r="I151" s="1092">
        <v>0</v>
      </c>
      <c r="J151" s="1130">
        <f t="shared" si="52"/>
        <v>0</v>
      </c>
      <c r="K151" s="1085">
        <f>+'S2'!BK38</f>
        <v>1.2436</v>
      </c>
      <c r="L151" s="1094">
        <f t="shared" si="47"/>
        <v>0</v>
      </c>
      <c r="M151" s="1094">
        <f t="shared" si="53"/>
        <v>0</v>
      </c>
      <c r="N151" s="1131"/>
      <c r="O151" s="1098"/>
      <c r="Q151" s="2138"/>
    </row>
    <row r="152" spans="1:17" s="150" customFormat="1">
      <c r="A152" s="184"/>
      <c r="B152" s="199">
        <v>6.5</v>
      </c>
      <c r="C152" s="1582" t="s">
        <v>2067</v>
      </c>
      <c r="D152" s="1113"/>
      <c r="E152" s="2335"/>
      <c r="F152" s="1117" t="s">
        <v>32</v>
      </c>
      <c r="G152" s="1091">
        <f>IF(E152&lt;=0,0,'1.ต้นทุนถนน AC.'!$M$49)-$H$152</f>
        <v>0</v>
      </c>
      <c r="H152" s="1091">
        <f>IF(E152&lt;=0,0,'1.ต้นทุนถนน AC.'!M47)</f>
        <v>0</v>
      </c>
      <c r="I152" s="2329">
        <f>ROUND(G152+H152,2)</f>
        <v>0</v>
      </c>
      <c r="J152" s="1130">
        <f t="shared" si="52"/>
        <v>0</v>
      </c>
      <c r="K152" s="1085">
        <f>IF(E152&gt;0,'NO DELETE'!$Q$18,)</f>
        <v>0</v>
      </c>
      <c r="L152" s="1094">
        <f t="shared" si="47"/>
        <v>0</v>
      </c>
      <c r="M152" s="1094">
        <f t="shared" si="53"/>
        <v>0</v>
      </c>
      <c r="N152" s="1131"/>
      <c r="O152" s="1098"/>
      <c r="Q152" s="2138"/>
    </row>
    <row r="153" spans="1:17" s="150" customFormat="1">
      <c r="A153" s="184"/>
      <c r="B153" s="199">
        <v>6.6</v>
      </c>
      <c r="C153" s="1582" t="s">
        <v>1806</v>
      </c>
      <c r="D153" s="1113"/>
      <c r="E153" s="2335"/>
      <c r="F153" s="1117" t="s">
        <v>32</v>
      </c>
      <c r="G153" s="1091">
        <f>IF(E153&lt;=0,0,'1.ต้นทุนถนน AC.'!$M$48)-$H$153</f>
        <v>0</v>
      </c>
      <c r="H153" s="1091">
        <f>IF(E153&lt;=0,0,'1.ต้นทุนถนน AC.'!M46)</f>
        <v>0</v>
      </c>
      <c r="I153" s="2329">
        <f>ROUND(G153+H153,2)</f>
        <v>0</v>
      </c>
      <c r="J153" s="1130">
        <f t="shared" ref="J153" si="54">E153*I153</f>
        <v>0</v>
      </c>
      <c r="K153" s="1085">
        <f>IF(E153&gt;0,'NO DELETE'!$Q$18,)</f>
        <v>0</v>
      </c>
      <c r="L153" s="1094">
        <f t="shared" ref="L153" si="55">ROUND(K153*I153,1)</f>
        <v>0</v>
      </c>
      <c r="M153" s="1094">
        <f t="shared" ref="M153" si="56">L153*E153</f>
        <v>0</v>
      </c>
      <c r="N153" s="1131"/>
      <c r="O153" s="1098"/>
      <c r="Q153" s="2138"/>
    </row>
    <row r="154" spans="1:17" s="150" customFormat="1">
      <c r="A154" s="167"/>
      <c r="B154" s="199">
        <v>6.7</v>
      </c>
      <c r="C154" s="1113" t="s">
        <v>659</v>
      </c>
      <c r="D154" s="1113"/>
      <c r="E154" s="2335"/>
      <c r="F154" s="1117" t="s">
        <v>31</v>
      </c>
      <c r="G154" s="1091">
        <f>IF(E154&gt;0,'4.ต้นทุนระบายน้ำ'!N70,)</f>
        <v>0</v>
      </c>
      <c r="H154" s="1091">
        <f>IF(E154&gt;0,'4.ต้นทุนระบายน้ำ'!N74,)</f>
        <v>0</v>
      </c>
      <c r="I154" s="2383">
        <f t="shared" ref="I154:I165" si="57">SUM(G154:H154)</f>
        <v>0</v>
      </c>
      <c r="J154" s="1130">
        <f t="shared" si="52"/>
        <v>0</v>
      </c>
      <c r="K154" s="1085">
        <f>IF(E154&gt;0,'NO DELETE'!$Q$18,)</f>
        <v>0</v>
      </c>
      <c r="L154" s="1094">
        <f t="shared" ref="L154:L163" si="58">ROUND(K154*I154,1)</f>
        <v>0</v>
      </c>
      <c r="M154" s="1094">
        <f t="shared" si="53"/>
        <v>0</v>
      </c>
      <c r="N154" s="1097"/>
      <c r="O154" s="1098"/>
      <c r="Q154" s="2138"/>
    </row>
    <row r="155" spans="1:17" s="150" customFormat="1">
      <c r="A155" s="184"/>
      <c r="B155" s="199">
        <v>6.8</v>
      </c>
      <c r="C155" s="1113" t="s">
        <v>649</v>
      </c>
      <c r="D155" s="1132"/>
      <c r="E155" s="2335"/>
      <c r="F155" s="1117" t="s">
        <v>31</v>
      </c>
      <c r="G155" s="1091">
        <f>IF(E155&gt;0,'4.ต้นทุนระบายน้ำ'!N84,)</f>
        <v>0</v>
      </c>
      <c r="H155" s="1091">
        <f>IF(E155&gt;0,'4.ต้นทุนระบายน้ำ'!N88,)</f>
        <v>0</v>
      </c>
      <c r="I155" s="2383">
        <f t="shared" si="57"/>
        <v>0</v>
      </c>
      <c r="J155" s="1130">
        <f t="shared" si="52"/>
        <v>0</v>
      </c>
      <c r="K155" s="1085">
        <f>IF(E155&gt;0,'NO DELETE'!$Q$18,)</f>
        <v>0</v>
      </c>
      <c r="L155" s="1094">
        <f t="shared" si="58"/>
        <v>0</v>
      </c>
      <c r="M155" s="1094">
        <f t="shared" si="53"/>
        <v>0</v>
      </c>
      <c r="N155" s="1097"/>
      <c r="O155" s="1098"/>
      <c r="Q155" s="2138"/>
    </row>
    <row r="156" spans="1:17" s="150" customFormat="1">
      <c r="A156" s="167"/>
      <c r="B156" s="199">
        <v>6.9</v>
      </c>
      <c r="C156" s="1113" t="s">
        <v>1607</v>
      </c>
      <c r="D156" s="1132"/>
      <c r="E156" s="2335"/>
      <c r="F156" s="1117" t="s">
        <v>182</v>
      </c>
      <c r="G156" s="1091">
        <f>IF(E156&gt;0,'4.ต้นทุนระบายน้ำ'!N97,)</f>
        <v>0</v>
      </c>
      <c r="H156" s="1091">
        <f>IF(E156&gt;0,'4.ต้นทุนระบายน้ำ'!N100,)</f>
        <v>0</v>
      </c>
      <c r="I156" s="1106">
        <f t="shared" si="57"/>
        <v>0</v>
      </c>
      <c r="J156" s="1130">
        <f t="shared" si="52"/>
        <v>0</v>
      </c>
      <c r="K156" s="1085">
        <f>IF(E156&gt;0,'NO DELETE'!$Q$18,)</f>
        <v>0</v>
      </c>
      <c r="L156" s="1094">
        <f t="shared" si="58"/>
        <v>0</v>
      </c>
      <c r="M156" s="1094">
        <f t="shared" si="53"/>
        <v>0</v>
      </c>
      <c r="N156" s="1097"/>
      <c r="O156" s="1098"/>
      <c r="Q156" s="2138"/>
    </row>
    <row r="157" spans="1:17" s="150" customFormat="1">
      <c r="A157" s="167"/>
      <c r="B157" s="1530">
        <v>6.1</v>
      </c>
      <c r="C157" s="1113" t="s">
        <v>1608</v>
      </c>
      <c r="D157" s="1132"/>
      <c r="E157" s="2335"/>
      <c r="F157" s="1117" t="s">
        <v>182</v>
      </c>
      <c r="G157" s="1091">
        <f>IF(E157&gt;0,'4.ต้นทุนระบายน้ำ'!N108,)</f>
        <v>0</v>
      </c>
      <c r="H157" s="1091">
        <f>IF(E157&gt;0,'4.ต้นทุนระบายน้ำ'!N111,)</f>
        <v>0</v>
      </c>
      <c r="I157" s="1106">
        <f t="shared" si="57"/>
        <v>0</v>
      </c>
      <c r="J157" s="1130">
        <f>E157*I157</f>
        <v>0</v>
      </c>
      <c r="K157" s="1085">
        <f>IF(E157&gt;0,'NO DELETE'!$Q$18,)</f>
        <v>0</v>
      </c>
      <c r="L157" s="1094">
        <f t="shared" si="58"/>
        <v>0</v>
      </c>
      <c r="M157" s="1094">
        <f>L157*E157</f>
        <v>0</v>
      </c>
      <c r="N157" s="1097"/>
      <c r="O157" s="1098"/>
      <c r="Q157" s="2138"/>
    </row>
    <row r="158" spans="1:17" s="150" customFormat="1">
      <c r="A158" s="167"/>
      <c r="B158" s="1530">
        <v>6.11</v>
      </c>
      <c r="C158" s="1113" t="s">
        <v>1949</v>
      </c>
      <c r="D158" s="1132"/>
      <c r="E158" s="2334"/>
      <c r="F158" s="1133" t="s">
        <v>31</v>
      </c>
      <c r="G158" s="1471">
        <f>+G154</f>
        <v>0</v>
      </c>
      <c r="H158" s="1471">
        <f>+H154</f>
        <v>0</v>
      </c>
      <c r="I158" s="1106">
        <f t="shared" si="57"/>
        <v>0</v>
      </c>
      <c r="J158" s="1130">
        <f>E158*I158</f>
        <v>0</v>
      </c>
      <c r="K158" s="1085">
        <f>IF(E158&gt;0,'NO DELETE'!$Q$18,)</f>
        <v>0</v>
      </c>
      <c r="L158" s="1094">
        <f t="shared" si="58"/>
        <v>0</v>
      </c>
      <c r="M158" s="1094">
        <f>L158*E158</f>
        <v>0</v>
      </c>
      <c r="N158" s="1097"/>
      <c r="O158" s="1098"/>
      <c r="Q158" s="2138"/>
    </row>
    <row r="159" spans="1:17" s="150" customFormat="1">
      <c r="A159" s="167"/>
      <c r="B159" s="1530">
        <v>6.12</v>
      </c>
      <c r="C159" s="1113"/>
      <c r="D159" s="1132"/>
      <c r="E159" s="2334"/>
      <c r="F159" s="1133" t="s">
        <v>1814</v>
      </c>
      <c r="G159" s="1471">
        <f>IF(E159&gt;0,#REF!-#REF!,)</f>
        <v>0</v>
      </c>
      <c r="H159" s="1471">
        <f>IF(E159&gt;0,#REF!,)</f>
        <v>0</v>
      </c>
      <c r="I159" s="1106">
        <f t="shared" si="57"/>
        <v>0</v>
      </c>
      <c r="J159" s="1130">
        <f t="shared" ref="J159:J160" si="59">E159*I159</f>
        <v>0</v>
      </c>
      <c r="K159" s="1085">
        <f>IF(E159&gt;0,'NO DELETE'!$Q$18,)</f>
        <v>0</v>
      </c>
      <c r="L159" s="1094">
        <f t="shared" ref="L159:L160" si="60">ROUND(K159*I159,1)</f>
        <v>0</v>
      </c>
      <c r="M159" s="1094">
        <f t="shared" ref="M159:M160" si="61">L159*E159</f>
        <v>0</v>
      </c>
      <c r="N159" s="1097"/>
      <c r="O159" s="1098"/>
      <c r="Q159" s="2138"/>
    </row>
    <row r="160" spans="1:17" s="150" customFormat="1">
      <c r="A160" s="167"/>
      <c r="B160" s="1530">
        <v>6.13</v>
      </c>
      <c r="C160" s="1113"/>
      <c r="D160" s="1132"/>
      <c r="E160" s="2334"/>
      <c r="F160" s="1133" t="s">
        <v>1814</v>
      </c>
      <c r="G160" s="1471">
        <f>IF(E160&gt;0,#REF!-#REF!,)</f>
        <v>0</v>
      </c>
      <c r="H160" s="1471">
        <f>IF(E160&gt;0,#REF!,)</f>
        <v>0</v>
      </c>
      <c r="I160" s="1106">
        <f t="shared" si="57"/>
        <v>0</v>
      </c>
      <c r="J160" s="1130">
        <f t="shared" si="59"/>
        <v>0</v>
      </c>
      <c r="K160" s="1085">
        <f>IF(E160&gt;0,'NO DELETE'!$Q$18,)</f>
        <v>0</v>
      </c>
      <c r="L160" s="1094">
        <f t="shared" si="60"/>
        <v>0</v>
      </c>
      <c r="M160" s="1094">
        <f t="shared" si="61"/>
        <v>0</v>
      </c>
      <c r="N160" s="1097"/>
      <c r="O160" s="1098"/>
      <c r="Q160" s="2138"/>
    </row>
    <row r="161" spans="1:17" s="150" customFormat="1">
      <c r="A161" s="167"/>
      <c r="B161" s="1530">
        <v>6.14</v>
      </c>
      <c r="C161" s="1113" t="s">
        <v>1817</v>
      </c>
      <c r="D161" s="1132"/>
      <c r="E161" s="2334"/>
      <c r="F161" s="1133" t="s">
        <v>31</v>
      </c>
      <c r="G161" s="1471">
        <v>0</v>
      </c>
      <c r="H161" s="1471">
        <v>0</v>
      </c>
      <c r="I161" s="1091">
        <f>IF(E161&gt;0,#REF!,)</f>
        <v>0</v>
      </c>
      <c r="J161" s="1130">
        <f t="shared" ref="J161" si="62">E161*I161</f>
        <v>0</v>
      </c>
      <c r="K161" s="1085">
        <f>IF(E161&gt;0,'NO DELETE'!$Q$18,)</f>
        <v>0</v>
      </c>
      <c r="L161" s="1094">
        <f t="shared" ref="L161" si="63">ROUND(K161*I161,1)</f>
        <v>0</v>
      </c>
      <c r="M161" s="1094">
        <f t="shared" ref="M161" si="64">L161*E161</f>
        <v>0</v>
      </c>
      <c r="N161" s="1097"/>
      <c r="O161" s="1098"/>
      <c r="Q161" s="2138"/>
    </row>
    <row r="162" spans="1:17" s="150" customFormat="1">
      <c r="A162" s="167"/>
      <c r="B162" s="1530">
        <v>6.15</v>
      </c>
      <c r="C162" s="1113" t="s">
        <v>1950</v>
      </c>
      <c r="D162" s="1132"/>
      <c r="E162" s="2334"/>
      <c r="F162" s="1133" t="s">
        <v>182</v>
      </c>
      <c r="G162" s="1471">
        <v>0</v>
      </c>
      <c r="H162" s="1471">
        <v>0</v>
      </c>
      <c r="I162" s="1091">
        <f>IF(E162&gt;0,310,)</f>
        <v>0</v>
      </c>
      <c r="J162" s="1130">
        <f t="shared" ref="J162" si="65">E162*I162</f>
        <v>0</v>
      </c>
      <c r="K162" s="1085">
        <f>IF(E162&gt;0,'NO DELETE'!$Q$18,)</f>
        <v>0</v>
      </c>
      <c r="L162" s="1094">
        <f t="shared" ref="L162" si="66">ROUND(K162*I162,1)</f>
        <v>0</v>
      </c>
      <c r="M162" s="1094">
        <f t="shared" ref="M162" si="67">L162*E162</f>
        <v>0</v>
      </c>
      <c r="N162" s="1097"/>
      <c r="O162" s="1098"/>
      <c r="Q162" s="2138"/>
    </row>
    <row r="163" spans="1:17" s="150" customFormat="1">
      <c r="A163" s="167"/>
      <c r="B163" s="1530">
        <v>6.16</v>
      </c>
      <c r="C163" s="1113" t="str">
        <f>+VLOOKUP(บ่อรับน้ำ!A21,บ่อรับน้ำ!$AO$2:$AP$13,2)</f>
        <v>บ่อรับน้ำปากท่อ ขนาด Dia. 2 - 1.00 ม.</v>
      </c>
      <c r="D163" s="1132"/>
      <c r="E163" s="2334"/>
      <c r="F163" s="1133" t="s">
        <v>119</v>
      </c>
      <c r="G163" s="1471">
        <f>IF(E163&gt;0,'4.ต้นทุนระบายน้ำ'!N132,)</f>
        <v>0</v>
      </c>
      <c r="H163" s="1471">
        <f>IF(E163&gt;0,'4.ต้นทุนระบายน้ำ'!N135,)</f>
        <v>0</v>
      </c>
      <c r="I163" s="1106">
        <f t="shared" si="57"/>
        <v>0</v>
      </c>
      <c r="J163" s="1130">
        <f>E163*I163</f>
        <v>0</v>
      </c>
      <c r="K163" s="1085">
        <f>IF(E163&gt;0,'NO DELETE'!$Q$18,)</f>
        <v>0</v>
      </c>
      <c r="L163" s="1094">
        <f t="shared" si="58"/>
        <v>0</v>
      </c>
      <c r="M163" s="1094">
        <f>L163*E163</f>
        <v>0</v>
      </c>
      <c r="N163" s="1097"/>
      <c r="O163" s="1098"/>
      <c r="Q163" s="2138"/>
    </row>
    <row r="164" spans="1:17" s="150" customFormat="1">
      <c r="A164" s="167"/>
      <c r="B164" s="1530">
        <v>6.17</v>
      </c>
      <c r="C164" s="1113" t="str">
        <f>+VLOOKUP(บ่อรับน้ำ!A22,บ่อรับน้ำ!$AO$2:$AP$13,2)</f>
        <v>บ่อรับน้ำปากท่อ ขนาด Dia. 2 - 0.80 ม.</v>
      </c>
      <c r="D164" s="1132"/>
      <c r="E164" s="2334"/>
      <c r="F164" s="1133" t="s">
        <v>119</v>
      </c>
      <c r="G164" s="1471">
        <f>IF(E164&gt;0,'4.ต้นทุนระบายน้ำ'!N142,)</f>
        <v>0</v>
      </c>
      <c r="H164" s="1471">
        <f>IF(E164&gt;0,'4.ต้นทุนระบายน้ำ'!N145,)</f>
        <v>0</v>
      </c>
      <c r="I164" s="1106">
        <f t="shared" si="57"/>
        <v>0</v>
      </c>
      <c r="J164" s="1130">
        <f>E164*I164</f>
        <v>0</v>
      </c>
      <c r="K164" s="1085">
        <f>IF(E164&gt;0,'NO DELETE'!$Q$18,)</f>
        <v>0</v>
      </c>
      <c r="L164" s="1094">
        <f>ROUND(K164*I164,1)</f>
        <v>0</v>
      </c>
      <c r="M164" s="1094">
        <f>L164*E164</f>
        <v>0</v>
      </c>
      <c r="N164" s="1097"/>
      <c r="O164" s="1098"/>
      <c r="Q164" s="2138"/>
    </row>
    <row r="165" spans="1:17" s="150" customFormat="1">
      <c r="A165" s="167"/>
      <c r="B165" s="1530">
        <v>6.1800000000000104</v>
      </c>
      <c r="C165" s="1113" t="str">
        <f>+VLOOKUP(บ่อรับน้ำ!A23,บ่อรับน้ำ!$AO$2:$AP$13,2)</f>
        <v>บ่อรับน้ำปากท่อ ขนาด Dia. 3 - 0.80 ม.</v>
      </c>
      <c r="D165" s="1132"/>
      <c r="E165" s="2334"/>
      <c r="F165" s="1133" t="s">
        <v>119</v>
      </c>
      <c r="G165" s="1471">
        <f>IF(E165&gt;0,'4.ต้นทุนระบายน้ำ'!N152,)</f>
        <v>0</v>
      </c>
      <c r="H165" s="1471">
        <f>IF(E165&gt;0,'4.ต้นทุนระบายน้ำ'!N155,)</f>
        <v>0</v>
      </c>
      <c r="I165" s="1106">
        <f t="shared" si="57"/>
        <v>0</v>
      </c>
      <c r="J165" s="1130">
        <f>E165*I165</f>
        <v>0</v>
      </c>
      <c r="K165" s="1085">
        <f>IF(E165&gt;0,'NO DELETE'!$Q$18,)</f>
        <v>0</v>
      </c>
      <c r="L165" s="1094">
        <f>ROUND(K165*I165,1)</f>
        <v>0</v>
      </c>
      <c r="M165" s="1094">
        <f>L165*E165</f>
        <v>0</v>
      </c>
      <c r="N165" s="1097"/>
      <c r="O165" s="1098"/>
      <c r="Q165" s="2138"/>
    </row>
    <row r="166" spans="1:17" s="150" customFormat="1">
      <c r="A166" s="167">
        <v>7</v>
      </c>
      <c r="B166" s="177" t="s">
        <v>711</v>
      </c>
      <c r="C166" s="203"/>
      <c r="D166" s="200"/>
      <c r="E166" s="161"/>
      <c r="F166" s="201"/>
      <c r="G166" s="161"/>
      <c r="H166" s="161"/>
      <c r="I166" s="202"/>
      <c r="J166" s="193"/>
      <c r="K166" s="163"/>
      <c r="L166" s="157"/>
      <c r="M166" s="157"/>
      <c r="N166" s="156"/>
      <c r="O166" s="164"/>
      <c r="Q166" s="2138"/>
    </row>
    <row r="167" spans="1:17" s="150" customFormat="1">
      <c r="A167" s="167"/>
      <c r="B167" s="1134">
        <v>7.1</v>
      </c>
      <c r="C167" s="1140" t="s">
        <v>1819</v>
      </c>
      <c r="D167" s="1137"/>
      <c r="E167" s="2333"/>
      <c r="F167" s="1141" t="s">
        <v>182</v>
      </c>
      <c r="G167" s="1572">
        <v>0</v>
      </c>
      <c r="H167" s="1572">
        <v>0</v>
      </c>
      <c r="I167" s="1572">
        <f>IF(E167&gt;0,'GABION BOX'!$H$18,)</f>
        <v>0</v>
      </c>
      <c r="J167" s="1129">
        <f>E167*I167</f>
        <v>0</v>
      </c>
      <c r="K167" s="1085">
        <f>IF(E167&gt;0,'NO DELETE'!$Q$18,)</f>
        <v>0</v>
      </c>
      <c r="L167" s="1086">
        <f>ROUND(K167*I167,1)</f>
        <v>0</v>
      </c>
      <c r="M167" s="1086">
        <f>L167*E167</f>
        <v>0</v>
      </c>
      <c r="N167" s="1087"/>
      <c r="O167" s="1088"/>
      <c r="Q167" s="2138"/>
    </row>
    <row r="168" spans="1:17" s="150" customFormat="1">
      <c r="A168" s="167"/>
      <c r="B168" s="204">
        <v>7.2</v>
      </c>
      <c r="C168" s="1140" t="s">
        <v>1818</v>
      </c>
      <c r="D168" s="1132"/>
      <c r="E168" s="2334"/>
      <c r="F168" s="1133" t="s">
        <v>182</v>
      </c>
      <c r="G168" s="1091">
        <v>0</v>
      </c>
      <c r="H168" s="1091">
        <v>0</v>
      </c>
      <c r="I168" s="1572">
        <f>IF(E168&gt;0,'GABION BOX'!$H$39,)</f>
        <v>0</v>
      </c>
      <c r="J168" s="1130">
        <f>E168*I168</f>
        <v>0</v>
      </c>
      <c r="K168" s="1093">
        <f>IF(E168&gt;0,'NO DELETE'!$Q$18,)</f>
        <v>0</v>
      </c>
      <c r="L168" s="1094">
        <f>ROUND(K168*I168,1)</f>
        <v>0</v>
      </c>
      <c r="M168" s="1094">
        <f>L168*E168</f>
        <v>0</v>
      </c>
      <c r="N168" s="1097"/>
      <c r="O168" s="1098"/>
      <c r="Q168" s="2138"/>
    </row>
    <row r="169" spans="1:17" s="150" customFormat="1">
      <c r="A169" s="167"/>
      <c r="B169" s="204">
        <v>7.3</v>
      </c>
      <c r="C169" s="1135" t="s">
        <v>1818</v>
      </c>
      <c r="D169" s="200"/>
      <c r="E169" s="2336"/>
      <c r="F169" s="201" t="s">
        <v>182</v>
      </c>
      <c r="G169" s="161">
        <v>0</v>
      </c>
      <c r="H169" s="161">
        <v>0</v>
      </c>
      <c r="I169" s="1572">
        <f>IF(E169&gt;0,'GABION BOX'!$H$60,)</f>
        <v>0</v>
      </c>
      <c r="J169" s="1129">
        <f>E169*I169</f>
        <v>0</v>
      </c>
      <c r="K169" s="1085">
        <f>IF(E169&gt;0,'NO DELETE'!$Q$18,)</f>
        <v>0</v>
      </c>
      <c r="L169" s="1086">
        <f>ROUND(K169*I169,1)</f>
        <v>0</v>
      </c>
      <c r="M169" s="1086">
        <f>L169*E169</f>
        <v>0</v>
      </c>
      <c r="N169" s="1087"/>
      <c r="O169" s="1088"/>
      <c r="Q169" s="2138"/>
    </row>
    <row r="170" spans="1:17" s="150" customFormat="1" ht="21.75" customHeight="1">
      <c r="A170" s="2638" t="s">
        <v>28</v>
      </c>
      <c r="B170" s="2639"/>
      <c r="C170" s="2639"/>
      <c r="D170" s="2639"/>
      <c r="E170" s="2639"/>
      <c r="F170" s="2639"/>
      <c r="G170" s="2639"/>
      <c r="H170" s="2639"/>
      <c r="I170" s="2640"/>
      <c r="J170" s="888">
        <f>SUM(J120:J169)</f>
        <v>5600140.1900000004</v>
      </c>
      <c r="K170" s="194"/>
      <c r="L170" s="195"/>
      <c r="M170" s="888">
        <f>SUM(M120:M169)</f>
        <v>7925352.7000000011</v>
      </c>
      <c r="N170" s="158"/>
      <c r="O170" s="189"/>
      <c r="Q170" s="2138"/>
    </row>
    <row r="171" spans="1:17" s="150" customFormat="1">
      <c r="A171" s="153"/>
      <c r="B171" s="153"/>
      <c r="C171" s="153"/>
      <c r="D171" s="178"/>
      <c r="E171" s="153"/>
      <c r="F171" s="153"/>
      <c r="G171" s="153"/>
      <c r="H171" s="153"/>
      <c r="I171" s="153"/>
      <c r="J171" s="208"/>
      <c r="K171" s="208"/>
      <c r="L171" s="208"/>
      <c r="M171" s="208"/>
      <c r="N171" s="153"/>
      <c r="O171" s="153"/>
      <c r="Q171" s="2138"/>
    </row>
    <row r="172" spans="1:17" s="150" customFormat="1">
      <c r="B172" s="209" t="s">
        <v>215</v>
      </c>
      <c r="C172" s="209"/>
      <c r="D172" s="209"/>
      <c r="E172" s="209"/>
      <c r="F172" s="210"/>
      <c r="G172" s="209" t="s">
        <v>216</v>
      </c>
      <c r="H172" s="209"/>
      <c r="I172" s="209"/>
      <c r="J172" s="209"/>
      <c r="K172" s="209"/>
      <c r="L172" s="209"/>
      <c r="M172" s="209"/>
      <c r="Q172" s="2138"/>
    </row>
    <row r="173" spans="1:17" s="150" customFormat="1">
      <c r="B173" s="211"/>
      <c r="C173" s="211"/>
      <c r="D173" s="2644" t="str">
        <f>CONCATENATE("( ",แหล่งวัสดุ!K37," )"," ",แหล่งวัสดุ!N37)</f>
        <v>( นายวัลลภ  มูสิกะเจริญ ) นายช่างโยธาชำนาญงาน</v>
      </c>
      <c r="E173" s="2644"/>
      <c r="F173" s="209"/>
      <c r="G173" s="211"/>
      <c r="H173" s="2020" t="str">
        <f>CONCATENATE("( ",แหล่งวัสดุ!K38," )"," ",แหล่งวัสดุ!N38)</f>
        <v>( นางสาวปิญาภา  ศรีมณี ) วิศวกรโยธาชำนาญการ</v>
      </c>
      <c r="I173" s="209"/>
      <c r="J173" s="209"/>
      <c r="K173" s="209"/>
      <c r="L173" s="209"/>
      <c r="M173" s="209"/>
      <c r="Q173" s="2138"/>
    </row>
  </sheetData>
  <protectedRanges>
    <protectedRange sqref="C166:C169" name="Range5_1_1"/>
    <protectedRange sqref="C135:C139" name="Range5_1_1_1"/>
    <protectedRange sqref="C141:C145" name="Range5_1_1_2"/>
  </protectedRanges>
  <mergeCells count="111">
    <mergeCell ref="Q47:T48"/>
    <mergeCell ref="Q49:T51"/>
    <mergeCell ref="Q52:T53"/>
    <mergeCell ref="N93:O93"/>
    <mergeCell ref="N94:O94"/>
    <mergeCell ref="N75:O75"/>
    <mergeCell ref="N76:O76"/>
    <mergeCell ref="N77:O77"/>
    <mergeCell ref="N79:O79"/>
    <mergeCell ref="N69:O69"/>
    <mergeCell ref="N73:O73"/>
    <mergeCell ref="N74:O74"/>
    <mergeCell ref="N72:O72"/>
    <mergeCell ref="N70:O70"/>
    <mergeCell ref="N67:O67"/>
    <mergeCell ref="N49:O49"/>
    <mergeCell ref="N92:O92"/>
    <mergeCell ref="N88:O88"/>
    <mergeCell ref="N89:O89"/>
    <mergeCell ref="N90:O90"/>
    <mergeCell ref="N91:O91"/>
    <mergeCell ref="N65:O65"/>
    <mergeCell ref="A61:A62"/>
    <mergeCell ref="N102:O102"/>
    <mergeCell ref="A114:I114"/>
    <mergeCell ref="G118:I118"/>
    <mergeCell ref="C135:D135"/>
    <mergeCell ref="N103:O103"/>
    <mergeCell ref="N104:O104"/>
    <mergeCell ref="N105:O105"/>
    <mergeCell ref="N106:O106"/>
    <mergeCell ref="B61:D62"/>
    <mergeCell ref="E61:E62"/>
    <mergeCell ref="F61:F62"/>
    <mergeCell ref="G61:I61"/>
    <mergeCell ref="N99:O99"/>
    <mergeCell ref="N100:O100"/>
    <mergeCell ref="N101:O101"/>
    <mergeCell ref="N98:O98"/>
    <mergeCell ref="N87:O87"/>
    <mergeCell ref="N108:O108"/>
    <mergeCell ref="N109:O109"/>
    <mergeCell ref="N95:O95"/>
    <mergeCell ref="N110:O110"/>
    <mergeCell ref="N107:O107"/>
    <mergeCell ref="A1:O1"/>
    <mergeCell ref="N68:O68"/>
    <mergeCell ref="N47:O47"/>
    <mergeCell ref="N46:O46"/>
    <mergeCell ref="A4:A5"/>
    <mergeCell ref="B4:D5"/>
    <mergeCell ref="B20:C20"/>
    <mergeCell ref="K4:K5"/>
    <mergeCell ref="N59:O60"/>
    <mergeCell ref="N2:O3"/>
    <mergeCell ref="G4:I4"/>
    <mergeCell ref="N4:O5"/>
    <mergeCell ref="L4:M4"/>
    <mergeCell ref="M2:M3"/>
    <mergeCell ref="E4:E5"/>
    <mergeCell ref="N35:O35"/>
    <mergeCell ref="A57:I57"/>
    <mergeCell ref="L61:M61"/>
    <mergeCell ref="F4:F5"/>
    <mergeCell ref="A58:O58"/>
    <mergeCell ref="M59:M60"/>
    <mergeCell ref="N48:O48"/>
    <mergeCell ref="N66:O66"/>
    <mergeCell ref="K61:K62"/>
    <mergeCell ref="N19:O19"/>
    <mergeCell ref="N61:O62"/>
    <mergeCell ref="N96:O96"/>
    <mergeCell ref="N97:O97"/>
    <mergeCell ref="N78:O78"/>
    <mergeCell ref="N71:O71"/>
    <mergeCell ref="N80:O80"/>
    <mergeCell ref="N52:O52"/>
    <mergeCell ref="N53:O53"/>
    <mergeCell ref="N54:O54"/>
    <mergeCell ref="N55:O55"/>
    <mergeCell ref="N56:O56"/>
    <mergeCell ref="N64:O64"/>
    <mergeCell ref="N81:O81"/>
    <mergeCell ref="N82:O82"/>
    <mergeCell ref="N83:O83"/>
    <mergeCell ref="N84:O84"/>
    <mergeCell ref="N85:O85"/>
    <mergeCell ref="N86:O86"/>
    <mergeCell ref="N50:O50"/>
    <mergeCell ref="N51:O51"/>
    <mergeCell ref="D173:E173"/>
    <mergeCell ref="K118:K119"/>
    <mergeCell ref="L118:M118"/>
    <mergeCell ref="N118:O119"/>
    <mergeCell ref="A115:O115"/>
    <mergeCell ref="M116:M117"/>
    <mergeCell ref="N116:O117"/>
    <mergeCell ref="A118:A119"/>
    <mergeCell ref="B118:D119"/>
    <mergeCell ref="E118:E119"/>
    <mergeCell ref="F118:F119"/>
    <mergeCell ref="C142:D142"/>
    <mergeCell ref="C145:D145"/>
    <mergeCell ref="C139:D139"/>
    <mergeCell ref="C141:D141"/>
    <mergeCell ref="C136:D136"/>
    <mergeCell ref="C144:D144"/>
    <mergeCell ref="A170:I170"/>
    <mergeCell ref="C138:D138"/>
    <mergeCell ref="C143:D143"/>
    <mergeCell ref="C137:D137"/>
  </mergeCells>
  <phoneticPr fontId="0" type="noConversion"/>
  <printOptions horizontalCentered="1"/>
  <pageMargins left="0.15748031496062992" right="0.15748031496062992" top="0.51181102362204722" bottom="0.51181102362204722" header="0.15748031496062992" footer="0"/>
  <pageSetup paperSize="9" scale="70" orientation="portrait" blackAndWhite="1" r:id="rId1"/>
  <headerFooter alignWithMargins="0"/>
  <rowBreaks count="2" manualBreakCount="2">
    <brk id="57" max="16383" man="1"/>
    <brk id="11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Drop Down 2">
              <controlPr defaultSize="0" print="0" autoLine="0" autoPict="0">
                <anchor moveWithCells="1">
                  <from>
                    <xdr:col>3</xdr:col>
                    <xdr:colOff>523875</xdr:colOff>
                    <xdr:row>34</xdr:row>
                    <xdr:rowOff>19050</xdr:rowOff>
                  </from>
                  <to>
                    <xdr:col>3</xdr:col>
                    <xdr:colOff>2219325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Drop Down 3">
              <controlPr defaultSize="0" print="0" autoLine="0" autoPict="0">
                <anchor moveWithCells="1">
                  <from>
                    <xdr:col>3</xdr:col>
                    <xdr:colOff>685800</xdr:colOff>
                    <xdr:row>44</xdr:row>
                    <xdr:rowOff>28575</xdr:rowOff>
                  </from>
                  <to>
                    <xdr:col>3</xdr:col>
                    <xdr:colOff>2333625</xdr:colOff>
                    <xdr:row>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6" name="Drop Down 19">
              <controlPr defaultSize="0" print="0" autoLine="0" autoPict="0">
                <anchor moveWithCells="1">
                  <from>
                    <xdr:col>2</xdr:col>
                    <xdr:colOff>38100</xdr:colOff>
                    <xdr:row>134</xdr:row>
                    <xdr:rowOff>19050</xdr:rowOff>
                  </from>
                  <to>
                    <xdr:col>3</xdr:col>
                    <xdr:colOff>2238375</xdr:colOff>
                    <xdr:row>134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7" name="Drop Down 20">
              <controlPr defaultSize="0" print="0" autoLine="0" autoPict="0">
                <anchor moveWithCells="1">
                  <from>
                    <xdr:col>2</xdr:col>
                    <xdr:colOff>38100</xdr:colOff>
                    <xdr:row>135</xdr:row>
                    <xdr:rowOff>19050</xdr:rowOff>
                  </from>
                  <to>
                    <xdr:col>3</xdr:col>
                    <xdr:colOff>2238375</xdr:colOff>
                    <xdr:row>135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8" name="Drop Down 21">
              <controlPr defaultSize="0" print="0" autoLine="0" autoPict="0">
                <anchor moveWithCells="1">
                  <from>
                    <xdr:col>2</xdr:col>
                    <xdr:colOff>38100</xdr:colOff>
                    <xdr:row>136</xdr:row>
                    <xdr:rowOff>28575</xdr:rowOff>
                  </from>
                  <to>
                    <xdr:col>3</xdr:col>
                    <xdr:colOff>2238375</xdr:colOff>
                    <xdr:row>136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9" name="Drop Down 22">
              <controlPr defaultSize="0" print="0" autoLine="0" autoPict="0">
                <anchor moveWithCells="1">
                  <from>
                    <xdr:col>2</xdr:col>
                    <xdr:colOff>38100</xdr:colOff>
                    <xdr:row>137</xdr:row>
                    <xdr:rowOff>38100</xdr:rowOff>
                  </from>
                  <to>
                    <xdr:col>3</xdr:col>
                    <xdr:colOff>2247900</xdr:colOff>
                    <xdr:row>138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0" name="Drop Down 23">
              <controlPr defaultSize="0" print="0" autoLine="0" autoPict="0">
                <anchor moveWithCells="1">
                  <from>
                    <xdr:col>2</xdr:col>
                    <xdr:colOff>38100</xdr:colOff>
                    <xdr:row>138</xdr:row>
                    <xdr:rowOff>28575</xdr:rowOff>
                  </from>
                  <to>
                    <xdr:col>3</xdr:col>
                    <xdr:colOff>2247900</xdr:colOff>
                    <xdr:row>138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1" name="Drop Down 24">
              <controlPr defaultSize="0" print="0" autoLine="0" autoPict="0">
                <anchor moveWithCells="1">
                  <from>
                    <xdr:col>2</xdr:col>
                    <xdr:colOff>66675</xdr:colOff>
                    <xdr:row>140</xdr:row>
                    <xdr:rowOff>28575</xdr:rowOff>
                  </from>
                  <to>
                    <xdr:col>3</xdr:col>
                    <xdr:colOff>2276475</xdr:colOff>
                    <xdr:row>140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2" name="Drop Down 25">
              <controlPr defaultSize="0" print="0" autoLine="0" autoPict="0">
                <anchor moveWithCells="1">
                  <from>
                    <xdr:col>2</xdr:col>
                    <xdr:colOff>66675</xdr:colOff>
                    <xdr:row>141</xdr:row>
                    <xdr:rowOff>28575</xdr:rowOff>
                  </from>
                  <to>
                    <xdr:col>3</xdr:col>
                    <xdr:colOff>2266950</xdr:colOff>
                    <xdr:row>141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13" name="Drop Down 26">
              <controlPr defaultSize="0" print="0" autoLine="0" autoPict="0">
                <anchor moveWithCells="1">
                  <from>
                    <xdr:col>2</xdr:col>
                    <xdr:colOff>66675</xdr:colOff>
                    <xdr:row>142</xdr:row>
                    <xdr:rowOff>19050</xdr:rowOff>
                  </from>
                  <to>
                    <xdr:col>3</xdr:col>
                    <xdr:colOff>2276475</xdr:colOff>
                    <xdr:row>142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14" name="Drop Down 27">
              <controlPr defaultSize="0" print="0" autoLine="0" autoPict="0">
                <anchor moveWithCells="1">
                  <from>
                    <xdr:col>2</xdr:col>
                    <xdr:colOff>66675</xdr:colOff>
                    <xdr:row>143</xdr:row>
                    <xdr:rowOff>38100</xdr:rowOff>
                  </from>
                  <to>
                    <xdr:col>3</xdr:col>
                    <xdr:colOff>2266950</xdr:colOff>
                    <xdr:row>143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15" name="Drop Down 28">
              <controlPr defaultSize="0" print="0" autoLine="0" autoPict="0">
                <anchor moveWithCells="1">
                  <from>
                    <xdr:col>2</xdr:col>
                    <xdr:colOff>66675</xdr:colOff>
                    <xdr:row>144</xdr:row>
                    <xdr:rowOff>28575</xdr:rowOff>
                  </from>
                  <to>
                    <xdr:col>3</xdr:col>
                    <xdr:colOff>2266950</xdr:colOff>
                    <xdr:row>144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r:id="rId16" name="Drop Down 178">
              <controlPr defaultSize="0" print="0" autoLine="0" autoPict="0">
                <anchor moveWithCells="1">
                  <from>
                    <xdr:col>13</xdr:col>
                    <xdr:colOff>19050</xdr:colOff>
                    <xdr:row>23</xdr:row>
                    <xdr:rowOff>47625</xdr:rowOff>
                  </from>
                  <to>
                    <xdr:col>14</xdr:col>
                    <xdr:colOff>266700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r:id="rId17" name="Drop Down 179">
              <controlPr defaultSize="0" print="0" autoLine="0" autoPict="0">
                <anchor moveWithCells="1">
                  <from>
                    <xdr:col>13</xdr:col>
                    <xdr:colOff>28575</xdr:colOff>
                    <xdr:row>24</xdr:row>
                    <xdr:rowOff>38100</xdr:rowOff>
                  </from>
                  <to>
                    <xdr:col>14</xdr:col>
                    <xdr:colOff>257175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2" r:id="rId18" name="Drop Down 638">
              <controlPr defaultSize="0" print="0" autoLine="0" autoPict="0">
                <anchor moveWithCells="1">
                  <from>
                    <xdr:col>3</xdr:col>
                    <xdr:colOff>19050</xdr:colOff>
                    <xdr:row>112</xdr:row>
                    <xdr:rowOff>19050</xdr:rowOff>
                  </from>
                  <to>
                    <xdr:col>3</xdr:col>
                    <xdr:colOff>2352675</xdr:colOff>
                    <xdr:row>112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3" r:id="rId19" name="Drop Down 639">
              <controlPr defaultSize="0" print="0" autoLine="0" autoPict="0">
                <anchor moveWithCells="1">
                  <from>
                    <xdr:col>3</xdr:col>
                    <xdr:colOff>19050</xdr:colOff>
                    <xdr:row>127</xdr:row>
                    <xdr:rowOff>19050</xdr:rowOff>
                  </from>
                  <to>
                    <xdr:col>3</xdr:col>
                    <xdr:colOff>1762125</xdr:colOff>
                    <xdr:row>127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5" r:id="rId20" name="Drop Down 641">
              <controlPr defaultSize="0" print="0" autoLine="0" autoPict="0">
                <anchor moveWithCells="1">
                  <from>
                    <xdr:col>3</xdr:col>
                    <xdr:colOff>1847850</xdr:colOff>
                    <xdr:row>129</xdr:row>
                    <xdr:rowOff>38100</xdr:rowOff>
                  </from>
                  <to>
                    <xdr:col>4</xdr:col>
                    <xdr:colOff>9525</xdr:colOff>
                    <xdr:row>129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6" r:id="rId21" name="Drop Down 642">
              <controlPr defaultSize="0" print="0" autoLine="0" autoPict="0">
                <anchor moveWithCells="1">
                  <from>
                    <xdr:col>2</xdr:col>
                    <xdr:colOff>19050</xdr:colOff>
                    <xdr:row>7</xdr:row>
                    <xdr:rowOff>9525</xdr:rowOff>
                  </from>
                  <to>
                    <xdr:col>3</xdr:col>
                    <xdr:colOff>2324100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8" r:id="rId22" name="Drop Down 644">
              <controlPr defaultSize="0" print="0" autoLine="0" autoPict="0">
                <anchor moveWithCells="1">
                  <from>
                    <xdr:col>13</xdr:col>
                    <xdr:colOff>9525</xdr:colOff>
                    <xdr:row>18</xdr:row>
                    <xdr:rowOff>28575</xdr:rowOff>
                  </from>
                  <to>
                    <xdr:col>14</xdr:col>
                    <xdr:colOff>247650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9" r:id="rId23" name="Drop Down 755">
              <controlPr defaultSize="0" print="0" autoLine="0" autoPict="0">
                <anchor moveWithCells="1">
                  <from>
                    <xdr:col>3</xdr:col>
                    <xdr:colOff>1209675</xdr:colOff>
                    <xdr:row>69</xdr:row>
                    <xdr:rowOff>38100</xdr:rowOff>
                  </from>
                  <to>
                    <xdr:col>3</xdr:col>
                    <xdr:colOff>2324100</xdr:colOff>
                    <xdr:row>69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9942" r:id="rId24" name="Drop Down 1878">
              <controlPr defaultSize="0" print="0" autoLine="0" autoPict="0">
                <anchor moveWithCells="1">
                  <from>
                    <xdr:col>3</xdr:col>
                    <xdr:colOff>933450</xdr:colOff>
                    <xdr:row>25</xdr:row>
                    <xdr:rowOff>38100</xdr:rowOff>
                  </from>
                  <to>
                    <xdr:col>3</xdr:col>
                    <xdr:colOff>2019300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68" r:id="rId25" name="Drop Down 2064">
              <controlPr defaultSize="0" print="0" autoLine="0" autoPict="0">
                <anchor moveWithCells="1">
                  <from>
                    <xdr:col>2</xdr:col>
                    <xdr:colOff>47625</xdr:colOff>
                    <xdr:row>162</xdr:row>
                    <xdr:rowOff>9525</xdr:rowOff>
                  </from>
                  <to>
                    <xdr:col>3</xdr:col>
                    <xdr:colOff>2247900</xdr:colOff>
                    <xdr:row>162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69" r:id="rId26" name="Drop Down 2065">
              <controlPr defaultSize="0" print="0" autoLine="0" autoPict="0">
                <anchor moveWithCells="1">
                  <from>
                    <xdr:col>2</xdr:col>
                    <xdr:colOff>38100</xdr:colOff>
                    <xdr:row>163</xdr:row>
                    <xdr:rowOff>19050</xdr:rowOff>
                  </from>
                  <to>
                    <xdr:col>3</xdr:col>
                    <xdr:colOff>2238375</xdr:colOff>
                    <xdr:row>163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70" r:id="rId27" name="Drop Down 2066">
              <controlPr defaultSize="0" print="0" autoLine="0" autoPict="0">
                <anchor moveWithCells="1">
                  <from>
                    <xdr:col>2</xdr:col>
                    <xdr:colOff>28575</xdr:colOff>
                    <xdr:row>164</xdr:row>
                    <xdr:rowOff>19050</xdr:rowOff>
                  </from>
                  <to>
                    <xdr:col>3</xdr:col>
                    <xdr:colOff>2228850</xdr:colOff>
                    <xdr:row>164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63" r:id="rId28" name="Drop Down 2159">
              <controlPr defaultSize="0" print="0" autoLine="0" autoPict="0">
                <anchor moveWithCells="1">
                  <from>
                    <xdr:col>2</xdr:col>
                    <xdr:colOff>323850</xdr:colOff>
                    <xdr:row>19</xdr:row>
                    <xdr:rowOff>38100</xdr:rowOff>
                  </from>
                  <to>
                    <xdr:col>3</xdr:col>
                    <xdr:colOff>2171700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64" r:id="rId29" name="Drop Down 2160">
              <controlPr defaultSize="0" print="0" autoLine="0" autoPict="0">
                <anchor moveWithCells="1">
                  <from>
                    <xdr:col>3</xdr:col>
                    <xdr:colOff>1743075</xdr:colOff>
                    <xdr:row>127</xdr:row>
                    <xdr:rowOff>19050</xdr:rowOff>
                  </from>
                  <to>
                    <xdr:col>3</xdr:col>
                    <xdr:colOff>2343150</xdr:colOff>
                    <xdr:row>127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68" r:id="rId30" name="Drop Down 2164">
              <controlPr defaultSize="0" print="0" autoLine="0" autoPict="0">
                <anchor moveWithCells="1">
                  <from>
                    <xdr:col>3</xdr:col>
                    <xdr:colOff>19050</xdr:colOff>
                    <xdr:row>63</xdr:row>
                    <xdr:rowOff>19050</xdr:rowOff>
                  </from>
                  <to>
                    <xdr:col>3</xdr:col>
                    <xdr:colOff>2343150</xdr:colOff>
                    <xdr:row>63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69" r:id="rId31" name="Drop Down 2165">
              <controlPr defaultSize="0" print="0" autoLine="0" autoPict="0">
                <anchor moveWithCells="1">
                  <from>
                    <xdr:col>2</xdr:col>
                    <xdr:colOff>28575</xdr:colOff>
                    <xdr:row>145</xdr:row>
                    <xdr:rowOff>38100</xdr:rowOff>
                  </from>
                  <to>
                    <xdr:col>3</xdr:col>
                    <xdr:colOff>2343150</xdr:colOff>
                    <xdr:row>145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70" r:id="rId32" name="Drop Down 2166">
              <controlPr defaultSize="0" print="0" autoLine="0" autoPict="0">
                <anchor moveWithCells="1">
                  <from>
                    <xdr:col>2</xdr:col>
                    <xdr:colOff>28575</xdr:colOff>
                    <xdr:row>146</xdr:row>
                    <xdr:rowOff>28575</xdr:rowOff>
                  </from>
                  <to>
                    <xdr:col>3</xdr:col>
                    <xdr:colOff>2333625</xdr:colOff>
                    <xdr:row>146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71" r:id="rId33" name="Drop Down 2167">
              <controlPr defaultSize="0" print="0" autoLine="0" autoPict="0">
                <anchor moveWithCells="1">
                  <from>
                    <xdr:col>2</xdr:col>
                    <xdr:colOff>38100</xdr:colOff>
                    <xdr:row>147</xdr:row>
                    <xdr:rowOff>28575</xdr:rowOff>
                  </from>
                  <to>
                    <xdr:col>3</xdr:col>
                    <xdr:colOff>2343150</xdr:colOff>
                    <xdr:row>147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72" r:id="rId34" name="Drop Down 2168">
              <controlPr defaultSize="0" print="0" autoLine="0" autoPict="0">
                <anchor moveWithCells="1">
                  <from>
                    <xdr:col>2</xdr:col>
                    <xdr:colOff>28575</xdr:colOff>
                    <xdr:row>148</xdr:row>
                    <xdr:rowOff>28575</xdr:rowOff>
                  </from>
                  <to>
                    <xdr:col>3</xdr:col>
                    <xdr:colOff>2333625</xdr:colOff>
                    <xdr:row>148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Q47"/>
  <sheetViews>
    <sheetView workbookViewId="0">
      <selection activeCell="D6" sqref="D6"/>
    </sheetView>
  </sheetViews>
  <sheetFormatPr defaultRowHeight="24"/>
  <cols>
    <col min="1" max="1" width="7.5703125" style="2060" customWidth="1"/>
    <col min="2" max="2" width="7.85546875" style="2060" customWidth="1"/>
    <col min="3" max="3" width="7.5703125" style="2060" customWidth="1"/>
    <col min="4" max="4" width="57.28515625" style="2060" customWidth="1"/>
    <col min="5" max="5" width="9.85546875" style="2060" bestFit="1" customWidth="1"/>
    <col min="6" max="6" width="8.7109375" style="2060" bestFit="1" customWidth="1"/>
    <col min="7" max="7" width="13.85546875" style="2060" bestFit="1" customWidth="1"/>
    <col min="8" max="8" width="11.28515625" style="2060" bestFit="1" customWidth="1"/>
    <col min="9" max="9" width="10.28515625" style="2060" bestFit="1" customWidth="1"/>
    <col min="10" max="10" width="13.85546875" style="2060" bestFit="1" customWidth="1"/>
    <col min="11" max="11" width="11.28515625" style="2060" bestFit="1" customWidth="1"/>
    <col min="12" max="17" width="11" style="1585" bestFit="1" customWidth="1"/>
    <col min="18" max="256" width="9.140625" style="1585"/>
    <col min="257" max="257" width="7.5703125" style="1585" customWidth="1"/>
    <col min="258" max="258" width="7.85546875" style="1585" customWidth="1"/>
    <col min="259" max="259" width="7.5703125" style="1585" customWidth="1"/>
    <col min="260" max="260" width="57.28515625" style="1585" customWidth="1"/>
    <col min="261" max="261" width="9" style="1585" customWidth="1"/>
    <col min="262" max="262" width="11.5703125" style="1585" customWidth="1"/>
    <col min="263" max="264" width="14.140625" style="1585" customWidth="1"/>
    <col min="265" max="265" width="11.85546875" style="1585" customWidth="1"/>
    <col min="266" max="266" width="14.140625" style="1585" customWidth="1"/>
    <col min="267" max="267" width="13.28515625" style="1585" customWidth="1"/>
    <col min="268" max="273" width="11" style="1585" bestFit="1" customWidth="1"/>
    <col min="274" max="512" width="9.140625" style="1585"/>
    <col min="513" max="513" width="7.5703125" style="1585" customWidth="1"/>
    <col min="514" max="514" width="7.85546875" style="1585" customWidth="1"/>
    <col min="515" max="515" width="7.5703125" style="1585" customWidth="1"/>
    <col min="516" max="516" width="57.28515625" style="1585" customWidth="1"/>
    <col min="517" max="517" width="9" style="1585" customWidth="1"/>
    <col min="518" max="518" width="11.5703125" style="1585" customWidth="1"/>
    <col min="519" max="520" width="14.140625" style="1585" customWidth="1"/>
    <col min="521" max="521" width="11.85546875" style="1585" customWidth="1"/>
    <col min="522" max="522" width="14.140625" style="1585" customWidth="1"/>
    <col min="523" max="523" width="13.28515625" style="1585" customWidth="1"/>
    <col min="524" max="529" width="11" style="1585" bestFit="1" customWidth="1"/>
    <col min="530" max="768" width="9.140625" style="1585"/>
    <col min="769" max="769" width="7.5703125" style="1585" customWidth="1"/>
    <col min="770" max="770" width="7.85546875" style="1585" customWidth="1"/>
    <col min="771" max="771" width="7.5703125" style="1585" customWidth="1"/>
    <col min="772" max="772" width="57.28515625" style="1585" customWidth="1"/>
    <col min="773" max="773" width="9" style="1585" customWidth="1"/>
    <col min="774" max="774" width="11.5703125" style="1585" customWidth="1"/>
    <col min="775" max="776" width="14.140625" style="1585" customWidth="1"/>
    <col min="777" max="777" width="11.85546875" style="1585" customWidth="1"/>
    <col min="778" max="778" width="14.140625" style="1585" customWidth="1"/>
    <col min="779" max="779" width="13.28515625" style="1585" customWidth="1"/>
    <col min="780" max="785" width="11" style="1585" bestFit="1" customWidth="1"/>
    <col min="786" max="1024" width="9.140625" style="1585"/>
    <col min="1025" max="1025" width="7.5703125" style="1585" customWidth="1"/>
    <col min="1026" max="1026" width="7.85546875" style="1585" customWidth="1"/>
    <col min="1027" max="1027" width="7.5703125" style="1585" customWidth="1"/>
    <col min="1028" max="1028" width="57.28515625" style="1585" customWidth="1"/>
    <col min="1029" max="1029" width="9" style="1585" customWidth="1"/>
    <col min="1030" max="1030" width="11.5703125" style="1585" customWidth="1"/>
    <col min="1031" max="1032" width="14.140625" style="1585" customWidth="1"/>
    <col min="1033" max="1033" width="11.85546875" style="1585" customWidth="1"/>
    <col min="1034" max="1034" width="14.140625" style="1585" customWidth="1"/>
    <col min="1035" max="1035" width="13.28515625" style="1585" customWidth="1"/>
    <col min="1036" max="1041" width="11" style="1585" bestFit="1" customWidth="1"/>
    <col min="1042" max="1280" width="9.140625" style="1585"/>
    <col min="1281" max="1281" width="7.5703125" style="1585" customWidth="1"/>
    <col min="1282" max="1282" width="7.85546875" style="1585" customWidth="1"/>
    <col min="1283" max="1283" width="7.5703125" style="1585" customWidth="1"/>
    <col min="1284" max="1284" width="57.28515625" style="1585" customWidth="1"/>
    <col min="1285" max="1285" width="9" style="1585" customWidth="1"/>
    <col min="1286" max="1286" width="11.5703125" style="1585" customWidth="1"/>
    <col min="1287" max="1288" width="14.140625" style="1585" customWidth="1"/>
    <col min="1289" max="1289" width="11.85546875" style="1585" customWidth="1"/>
    <col min="1290" max="1290" width="14.140625" style="1585" customWidth="1"/>
    <col min="1291" max="1291" width="13.28515625" style="1585" customWidth="1"/>
    <col min="1292" max="1297" width="11" style="1585" bestFit="1" customWidth="1"/>
    <col min="1298" max="1536" width="9.140625" style="1585"/>
    <col min="1537" max="1537" width="7.5703125" style="1585" customWidth="1"/>
    <col min="1538" max="1538" width="7.85546875" style="1585" customWidth="1"/>
    <col min="1539" max="1539" width="7.5703125" style="1585" customWidth="1"/>
    <col min="1540" max="1540" width="57.28515625" style="1585" customWidth="1"/>
    <col min="1541" max="1541" width="9" style="1585" customWidth="1"/>
    <col min="1542" max="1542" width="11.5703125" style="1585" customWidth="1"/>
    <col min="1543" max="1544" width="14.140625" style="1585" customWidth="1"/>
    <col min="1545" max="1545" width="11.85546875" style="1585" customWidth="1"/>
    <col min="1546" max="1546" width="14.140625" style="1585" customWidth="1"/>
    <col min="1547" max="1547" width="13.28515625" style="1585" customWidth="1"/>
    <col min="1548" max="1553" width="11" style="1585" bestFit="1" customWidth="1"/>
    <col min="1554" max="1792" width="9.140625" style="1585"/>
    <col min="1793" max="1793" width="7.5703125" style="1585" customWidth="1"/>
    <col min="1794" max="1794" width="7.85546875" style="1585" customWidth="1"/>
    <col min="1795" max="1795" width="7.5703125" style="1585" customWidth="1"/>
    <col min="1796" max="1796" width="57.28515625" style="1585" customWidth="1"/>
    <col min="1797" max="1797" width="9" style="1585" customWidth="1"/>
    <col min="1798" max="1798" width="11.5703125" style="1585" customWidth="1"/>
    <col min="1799" max="1800" width="14.140625" style="1585" customWidth="1"/>
    <col min="1801" max="1801" width="11.85546875" style="1585" customWidth="1"/>
    <col min="1802" max="1802" width="14.140625" style="1585" customWidth="1"/>
    <col min="1803" max="1803" width="13.28515625" style="1585" customWidth="1"/>
    <col min="1804" max="1809" width="11" style="1585" bestFit="1" customWidth="1"/>
    <col min="1810" max="2048" width="9.140625" style="1585"/>
    <col min="2049" max="2049" width="7.5703125" style="1585" customWidth="1"/>
    <col min="2050" max="2050" width="7.85546875" style="1585" customWidth="1"/>
    <col min="2051" max="2051" width="7.5703125" style="1585" customWidth="1"/>
    <col min="2052" max="2052" width="57.28515625" style="1585" customWidth="1"/>
    <col min="2053" max="2053" width="9" style="1585" customWidth="1"/>
    <col min="2054" max="2054" width="11.5703125" style="1585" customWidth="1"/>
    <col min="2055" max="2056" width="14.140625" style="1585" customWidth="1"/>
    <col min="2057" max="2057" width="11.85546875" style="1585" customWidth="1"/>
    <col min="2058" max="2058" width="14.140625" style="1585" customWidth="1"/>
    <col min="2059" max="2059" width="13.28515625" style="1585" customWidth="1"/>
    <col min="2060" max="2065" width="11" style="1585" bestFit="1" customWidth="1"/>
    <col min="2066" max="2304" width="9.140625" style="1585"/>
    <col min="2305" max="2305" width="7.5703125" style="1585" customWidth="1"/>
    <col min="2306" max="2306" width="7.85546875" style="1585" customWidth="1"/>
    <col min="2307" max="2307" width="7.5703125" style="1585" customWidth="1"/>
    <col min="2308" max="2308" width="57.28515625" style="1585" customWidth="1"/>
    <col min="2309" max="2309" width="9" style="1585" customWidth="1"/>
    <col min="2310" max="2310" width="11.5703125" style="1585" customWidth="1"/>
    <col min="2311" max="2312" width="14.140625" style="1585" customWidth="1"/>
    <col min="2313" max="2313" width="11.85546875" style="1585" customWidth="1"/>
    <col min="2314" max="2314" width="14.140625" style="1585" customWidth="1"/>
    <col min="2315" max="2315" width="13.28515625" style="1585" customWidth="1"/>
    <col min="2316" max="2321" width="11" style="1585" bestFit="1" customWidth="1"/>
    <col min="2322" max="2560" width="9.140625" style="1585"/>
    <col min="2561" max="2561" width="7.5703125" style="1585" customWidth="1"/>
    <col min="2562" max="2562" width="7.85546875" style="1585" customWidth="1"/>
    <col min="2563" max="2563" width="7.5703125" style="1585" customWidth="1"/>
    <col min="2564" max="2564" width="57.28515625" style="1585" customWidth="1"/>
    <col min="2565" max="2565" width="9" style="1585" customWidth="1"/>
    <col min="2566" max="2566" width="11.5703125" style="1585" customWidth="1"/>
    <col min="2567" max="2568" width="14.140625" style="1585" customWidth="1"/>
    <col min="2569" max="2569" width="11.85546875" style="1585" customWidth="1"/>
    <col min="2570" max="2570" width="14.140625" style="1585" customWidth="1"/>
    <col min="2571" max="2571" width="13.28515625" style="1585" customWidth="1"/>
    <col min="2572" max="2577" width="11" style="1585" bestFit="1" customWidth="1"/>
    <col min="2578" max="2816" width="9.140625" style="1585"/>
    <col min="2817" max="2817" width="7.5703125" style="1585" customWidth="1"/>
    <col min="2818" max="2818" width="7.85546875" style="1585" customWidth="1"/>
    <col min="2819" max="2819" width="7.5703125" style="1585" customWidth="1"/>
    <col min="2820" max="2820" width="57.28515625" style="1585" customWidth="1"/>
    <col min="2821" max="2821" width="9" style="1585" customWidth="1"/>
    <col min="2822" max="2822" width="11.5703125" style="1585" customWidth="1"/>
    <col min="2823" max="2824" width="14.140625" style="1585" customWidth="1"/>
    <col min="2825" max="2825" width="11.85546875" style="1585" customWidth="1"/>
    <col min="2826" max="2826" width="14.140625" style="1585" customWidth="1"/>
    <col min="2827" max="2827" width="13.28515625" style="1585" customWidth="1"/>
    <col min="2828" max="2833" width="11" style="1585" bestFit="1" customWidth="1"/>
    <col min="2834" max="3072" width="9.140625" style="1585"/>
    <col min="3073" max="3073" width="7.5703125" style="1585" customWidth="1"/>
    <col min="3074" max="3074" width="7.85546875" style="1585" customWidth="1"/>
    <col min="3075" max="3075" width="7.5703125" style="1585" customWidth="1"/>
    <col min="3076" max="3076" width="57.28515625" style="1585" customWidth="1"/>
    <col min="3077" max="3077" width="9" style="1585" customWidth="1"/>
    <col min="3078" max="3078" width="11.5703125" style="1585" customWidth="1"/>
    <col min="3079" max="3080" width="14.140625" style="1585" customWidth="1"/>
    <col min="3081" max="3081" width="11.85546875" style="1585" customWidth="1"/>
    <col min="3082" max="3082" width="14.140625" style="1585" customWidth="1"/>
    <col min="3083" max="3083" width="13.28515625" style="1585" customWidth="1"/>
    <col min="3084" max="3089" width="11" style="1585" bestFit="1" customWidth="1"/>
    <col min="3090" max="3328" width="9.140625" style="1585"/>
    <col min="3329" max="3329" width="7.5703125" style="1585" customWidth="1"/>
    <col min="3330" max="3330" width="7.85546875" style="1585" customWidth="1"/>
    <col min="3331" max="3331" width="7.5703125" style="1585" customWidth="1"/>
    <col min="3332" max="3332" width="57.28515625" style="1585" customWidth="1"/>
    <col min="3333" max="3333" width="9" style="1585" customWidth="1"/>
    <col min="3334" max="3334" width="11.5703125" style="1585" customWidth="1"/>
    <col min="3335" max="3336" width="14.140625" style="1585" customWidth="1"/>
    <col min="3337" max="3337" width="11.85546875" style="1585" customWidth="1"/>
    <col min="3338" max="3338" width="14.140625" style="1585" customWidth="1"/>
    <col min="3339" max="3339" width="13.28515625" style="1585" customWidth="1"/>
    <col min="3340" max="3345" width="11" style="1585" bestFit="1" customWidth="1"/>
    <col min="3346" max="3584" width="9.140625" style="1585"/>
    <col min="3585" max="3585" width="7.5703125" style="1585" customWidth="1"/>
    <col min="3586" max="3586" width="7.85546875" style="1585" customWidth="1"/>
    <col min="3587" max="3587" width="7.5703125" style="1585" customWidth="1"/>
    <col min="3588" max="3588" width="57.28515625" style="1585" customWidth="1"/>
    <col min="3589" max="3589" width="9" style="1585" customWidth="1"/>
    <col min="3590" max="3590" width="11.5703125" style="1585" customWidth="1"/>
    <col min="3591" max="3592" width="14.140625" style="1585" customWidth="1"/>
    <col min="3593" max="3593" width="11.85546875" style="1585" customWidth="1"/>
    <col min="3594" max="3594" width="14.140625" style="1585" customWidth="1"/>
    <col min="3595" max="3595" width="13.28515625" style="1585" customWidth="1"/>
    <col min="3596" max="3601" width="11" style="1585" bestFit="1" customWidth="1"/>
    <col min="3602" max="3840" width="9.140625" style="1585"/>
    <col min="3841" max="3841" width="7.5703125" style="1585" customWidth="1"/>
    <col min="3842" max="3842" width="7.85546875" style="1585" customWidth="1"/>
    <col min="3843" max="3843" width="7.5703125" style="1585" customWidth="1"/>
    <col min="3844" max="3844" width="57.28515625" style="1585" customWidth="1"/>
    <col min="3845" max="3845" width="9" style="1585" customWidth="1"/>
    <col min="3846" max="3846" width="11.5703125" style="1585" customWidth="1"/>
    <col min="3847" max="3848" width="14.140625" style="1585" customWidth="1"/>
    <col min="3849" max="3849" width="11.85546875" style="1585" customWidth="1"/>
    <col min="3850" max="3850" width="14.140625" style="1585" customWidth="1"/>
    <col min="3851" max="3851" width="13.28515625" style="1585" customWidth="1"/>
    <col min="3852" max="3857" width="11" style="1585" bestFit="1" customWidth="1"/>
    <col min="3858" max="4096" width="9.140625" style="1585"/>
    <col min="4097" max="4097" width="7.5703125" style="1585" customWidth="1"/>
    <col min="4098" max="4098" width="7.85546875" style="1585" customWidth="1"/>
    <col min="4099" max="4099" width="7.5703125" style="1585" customWidth="1"/>
    <col min="4100" max="4100" width="57.28515625" style="1585" customWidth="1"/>
    <col min="4101" max="4101" width="9" style="1585" customWidth="1"/>
    <col min="4102" max="4102" width="11.5703125" style="1585" customWidth="1"/>
    <col min="4103" max="4104" width="14.140625" style="1585" customWidth="1"/>
    <col min="4105" max="4105" width="11.85546875" style="1585" customWidth="1"/>
    <col min="4106" max="4106" width="14.140625" style="1585" customWidth="1"/>
    <col min="4107" max="4107" width="13.28515625" style="1585" customWidth="1"/>
    <col min="4108" max="4113" width="11" style="1585" bestFit="1" customWidth="1"/>
    <col min="4114" max="4352" width="9.140625" style="1585"/>
    <col min="4353" max="4353" width="7.5703125" style="1585" customWidth="1"/>
    <col min="4354" max="4354" width="7.85546875" style="1585" customWidth="1"/>
    <col min="4355" max="4355" width="7.5703125" style="1585" customWidth="1"/>
    <col min="4356" max="4356" width="57.28515625" style="1585" customWidth="1"/>
    <col min="4357" max="4357" width="9" style="1585" customWidth="1"/>
    <col min="4358" max="4358" width="11.5703125" style="1585" customWidth="1"/>
    <col min="4359" max="4360" width="14.140625" style="1585" customWidth="1"/>
    <col min="4361" max="4361" width="11.85546875" style="1585" customWidth="1"/>
    <col min="4362" max="4362" width="14.140625" style="1585" customWidth="1"/>
    <col min="4363" max="4363" width="13.28515625" style="1585" customWidth="1"/>
    <col min="4364" max="4369" width="11" style="1585" bestFit="1" customWidth="1"/>
    <col min="4370" max="4608" width="9.140625" style="1585"/>
    <col min="4609" max="4609" width="7.5703125" style="1585" customWidth="1"/>
    <col min="4610" max="4610" width="7.85546875" style="1585" customWidth="1"/>
    <col min="4611" max="4611" width="7.5703125" style="1585" customWidth="1"/>
    <col min="4612" max="4612" width="57.28515625" style="1585" customWidth="1"/>
    <col min="4613" max="4613" width="9" style="1585" customWidth="1"/>
    <col min="4614" max="4614" width="11.5703125" style="1585" customWidth="1"/>
    <col min="4615" max="4616" width="14.140625" style="1585" customWidth="1"/>
    <col min="4617" max="4617" width="11.85546875" style="1585" customWidth="1"/>
    <col min="4618" max="4618" width="14.140625" style="1585" customWidth="1"/>
    <col min="4619" max="4619" width="13.28515625" style="1585" customWidth="1"/>
    <col min="4620" max="4625" width="11" style="1585" bestFit="1" customWidth="1"/>
    <col min="4626" max="4864" width="9.140625" style="1585"/>
    <col min="4865" max="4865" width="7.5703125" style="1585" customWidth="1"/>
    <col min="4866" max="4866" width="7.85546875" style="1585" customWidth="1"/>
    <col min="4867" max="4867" width="7.5703125" style="1585" customWidth="1"/>
    <col min="4868" max="4868" width="57.28515625" style="1585" customWidth="1"/>
    <col min="4869" max="4869" width="9" style="1585" customWidth="1"/>
    <col min="4870" max="4870" width="11.5703125" style="1585" customWidth="1"/>
    <col min="4871" max="4872" width="14.140625" style="1585" customWidth="1"/>
    <col min="4873" max="4873" width="11.85546875" style="1585" customWidth="1"/>
    <col min="4874" max="4874" width="14.140625" style="1585" customWidth="1"/>
    <col min="4875" max="4875" width="13.28515625" style="1585" customWidth="1"/>
    <col min="4876" max="4881" width="11" style="1585" bestFit="1" customWidth="1"/>
    <col min="4882" max="5120" width="9.140625" style="1585"/>
    <col min="5121" max="5121" width="7.5703125" style="1585" customWidth="1"/>
    <col min="5122" max="5122" width="7.85546875" style="1585" customWidth="1"/>
    <col min="5123" max="5123" width="7.5703125" style="1585" customWidth="1"/>
    <col min="5124" max="5124" width="57.28515625" style="1585" customWidth="1"/>
    <col min="5125" max="5125" width="9" style="1585" customWidth="1"/>
    <col min="5126" max="5126" width="11.5703125" style="1585" customWidth="1"/>
    <col min="5127" max="5128" width="14.140625" style="1585" customWidth="1"/>
    <col min="5129" max="5129" width="11.85546875" style="1585" customWidth="1"/>
    <col min="5130" max="5130" width="14.140625" style="1585" customWidth="1"/>
    <col min="5131" max="5131" width="13.28515625" style="1585" customWidth="1"/>
    <col min="5132" max="5137" width="11" style="1585" bestFit="1" customWidth="1"/>
    <col min="5138" max="5376" width="9.140625" style="1585"/>
    <col min="5377" max="5377" width="7.5703125" style="1585" customWidth="1"/>
    <col min="5378" max="5378" width="7.85546875" style="1585" customWidth="1"/>
    <col min="5379" max="5379" width="7.5703125" style="1585" customWidth="1"/>
    <col min="5380" max="5380" width="57.28515625" style="1585" customWidth="1"/>
    <col min="5381" max="5381" width="9" style="1585" customWidth="1"/>
    <col min="5382" max="5382" width="11.5703125" style="1585" customWidth="1"/>
    <col min="5383" max="5384" width="14.140625" style="1585" customWidth="1"/>
    <col min="5385" max="5385" width="11.85546875" style="1585" customWidth="1"/>
    <col min="5386" max="5386" width="14.140625" style="1585" customWidth="1"/>
    <col min="5387" max="5387" width="13.28515625" style="1585" customWidth="1"/>
    <col min="5388" max="5393" width="11" style="1585" bestFit="1" customWidth="1"/>
    <col min="5394" max="5632" width="9.140625" style="1585"/>
    <col min="5633" max="5633" width="7.5703125" style="1585" customWidth="1"/>
    <col min="5634" max="5634" width="7.85546875" style="1585" customWidth="1"/>
    <col min="5635" max="5635" width="7.5703125" style="1585" customWidth="1"/>
    <col min="5636" max="5636" width="57.28515625" style="1585" customWidth="1"/>
    <col min="5637" max="5637" width="9" style="1585" customWidth="1"/>
    <col min="5638" max="5638" width="11.5703125" style="1585" customWidth="1"/>
    <col min="5639" max="5640" width="14.140625" style="1585" customWidth="1"/>
    <col min="5641" max="5641" width="11.85546875" style="1585" customWidth="1"/>
    <col min="5642" max="5642" width="14.140625" style="1585" customWidth="1"/>
    <col min="5643" max="5643" width="13.28515625" style="1585" customWidth="1"/>
    <col min="5644" max="5649" width="11" style="1585" bestFit="1" customWidth="1"/>
    <col min="5650" max="5888" width="9.140625" style="1585"/>
    <col min="5889" max="5889" width="7.5703125" style="1585" customWidth="1"/>
    <col min="5890" max="5890" width="7.85546875" style="1585" customWidth="1"/>
    <col min="5891" max="5891" width="7.5703125" style="1585" customWidth="1"/>
    <col min="5892" max="5892" width="57.28515625" style="1585" customWidth="1"/>
    <col min="5893" max="5893" width="9" style="1585" customWidth="1"/>
    <col min="5894" max="5894" width="11.5703125" style="1585" customWidth="1"/>
    <col min="5895" max="5896" width="14.140625" style="1585" customWidth="1"/>
    <col min="5897" max="5897" width="11.85546875" style="1585" customWidth="1"/>
    <col min="5898" max="5898" width="14.140625" style="1585" customWidth="1"/>
    <col min="5899" max="5899" width="13.28515625" style="1585" customWidth="1"/>
    <col min="5900" max="5905" width="11" style="1585" bestFit="1" customWidth="1"/>
    <col min="5906" max="6144" width="9.140625" style="1585"/>
    <col min="6145" max="6145" width="7.5703125" style="1585" customWidth="1"/>
    <col min="6146" max="6146" width="7.85546875" style="1585" customWidth="1"/>
    <col min="6147" max="6147" width="7.5703125" style="1585" customWidth="1"/>
    <col min="6148" max="6148" width="57.28515625" style="1585" customWidth="1"/>
    <col min="6149" max="6149" width="9" style="1585" customWidth="1"/>
    <col min="6150" max="6150" width="11.5703125" style="1585" customWidth="1"/>
    <col min="6151" max="6152" width="14.140625" style="1585" customWidth="1"/>
    <col min="6153" max="6153" width="11.85546875" style="1585" customWidth="1"/>
    <col min="6154" max="6154" width="14.140625" style="1585" customWidth="1"/>
    <col min="6155" max="6155" width="13.28515625" style="1585" customWidth="1"/>
    <col min="6156" max="6161" width="11" style="1585" bestFit="1" customWidth="1"/>
    <col min="6162" max="6400" width="9.140625" style="1585"/>
    <col min="6401" max="6401" width="7.5703125" style="1585" customWidth="1"/>
    <col min="6402" max="6402" width="7.85546875" style="1585" customWidth="1"/>
    <col min="6403" max="6403" width="7.5703125" style="1585" customWidth="1"/>
    <col min="6404" max="6404" width="57.28515625" style="1585" customWidth="1"/>
    <col min="6405" max="6405" width="9" style="1585" customWidth="1"/>
    <col min="6406" max="6406" width="11.5703125" style="1585" customWidth="1"/>
    <col min="6407" max="6408" width="14.140625" style="1585" customWidth="1"/>
    <col min="6409" max="6409" width="11.85546875" style="1585" customWidth="1"/>
    <col min="6410" max="6410" width="14.140625" style="1585" customWidth="1"/>
    <col min="6411" max="6411" width="13.28515625" style="1585" customWidth="1"/>
    <col min="6412" max="6417" width="11" style="1585" bestFit="1" customWidth="1"/>
    <col min="6418" max="6656" width="9.140625" style="1585"/>
    <col min="6657" max="6657" width="7.5703125" style="1585" customWidth="1"/>
    <col min="6658" max="6658" width="7.85546875" style="1585" customWidth="1"/>
    <col min="6659" max="6659" width="7.5703125" style="1585" customWidth="1"/>
    <col min="6660" max="6660" width="57.28515625" style="1585" customWidth="1"/>
    <col min="6661" max="6661" width="9" style="1585" customWidth="1"/>
    <col min="6662" max="6662" width="11.5703125" style="1585" customWidth="1"/>
    <col min="6663" max="6664" width="14.140625" style="1585" customWidth="1"/>
    <col min="6665" max="6665" width="11.85546875" style="1585" customWidth="1"/>
    <col min="6666" max="6666" width="14.140625" style="1585" customWidth="1"/>
    <col min="6667" max="6667" width="13.28515625" style="1585" customWidth="1"/>
    <col min="6668" max="6673" width="11" style="1585" bestFit="1" customWidth="1"/>
    <col min="6674" max="6912" width="9.140625" style="1585"/>
    <col min="6913" max="6913" width="7.5703125" style="1585" customWidth="1"/>
    <col min="6914" max="6914" width="7.85546875" style="1585" customWidth="1"/>
    <col min="6915" max="6915" width="7.5703125" style="1585" customWidth="1"/>
    <col min="6916" max="6916" width="57.28515625" style="1585" customWidth="1"/>
    <col min="6917" max="6917" width="9" style="1585" customWidth="1"/>
    <col min="6918" max="6918" width="11.5703125" style="1585" customWidth="1"/>
    <col min="6919" max="6920" width="14.140625" style="1585" customWidth="1"/>
    <col min="6921" max="6921" width="11.85546875" style="1585" customWidth="1"/>
    <col min="6922" max="6922" width="14.140625" style="1585" customWidth="1"/>
    <col min="6923" max="6923" width="13.28515625" style="1585" customWidth="1"/>
    <col min="6924" max="6929" width="11" style="1585" bestFit="1" customWidth="1"/>
    <col min="6930" max="7168" width="9.140625" style="1585"/>
    <col min="7169" max="7169" width="7.5703125" style="1585" customWidth="1"/>
    <col min="7170" max="7170" width="7.85546875" style="1585" customWidth="1"/>
    <col min="7171" max="7171" width="7.5703125" style="1585" customWidth="1"/>
    <col min="7172" max="7172" width="57.28515625" style="1585" customWidth="1"/>
    <col min="7173" max="7173" width="9" style="1585" customWidth="1"/>
    <col min="7174" max="7174" width="11.5703125" style="1585" customWidth="1"/>
    <col min="7175" max="7176" width="14.140625" style="1585" customWidth="1"/>
    <col min="7177" max="7177" width="11.85546875" style="1585" customWidth="1"/>
    <col min="7178" max="7178" width="14.140625" style="1585" customWidth="1"/>
    <col min="7179" max="7179" width="13.28515625" style="1585" customWidth="1"/>
    <col min="7180" max="7185" width="11" style="1585" bestFit="1" customWidth="1"/>
    <col min="7186" max="7424" width="9.140625" style="1585"/>
    <col min="7425" max="7425" width="7.5703125" style="1585" customWidth="1"/>
    <col min="7426" max="7426" width="7.85546875" style="1585" customWidth="1"/>
    <col min="7427" max="7427" width="7.5703125" style="1585" customWidth="1"/>
    <col min="7428" max="7428" width="57.28515625" style="1585" customWidth="1"/>
    <col min="7429" max="7429" width="9" style="1585" customWidth="1"/>
    <col min="7430" max="7430" width="11.5703125" style="1585" customWidth="1"/>
    <col min="7431" max="7432" width="14.140625" style="1585" customWidth="1"/>
    <col min="7433" max="7433" width="11.85546875" style="1585" customWidth="1"/>
    <col min="7434" max="7434" width="14.140625" style="1585" customWidth="1"/>
    <col min="7435" max="7435" width="13.28515625" style="1585" customWidth="1"/>
    <col min="7436" max="7441" width="11" style="1585" bestFit="1" customWidth="1"/>
    <col min="7442" max="7680" width="9.140625" style="1585"/>
    <col min="7681" max="7681" width="7.5703125" style="1585" customWidth="1"/>
    <col min="7682" max="7682" width="7.85546875" style="1585" customWidth="1"/>
    <col min="7683" max="7683" width="7.5703125" style="1585" customWidth="1"/>
    <col min="7684" max="7684" width="57.28515625" style="1585" customWidth="1"/>
    <col min="7685" max="7685" width="9" style="1585" customWidth="1"/>
    <col min="7686" max="7686" width="11.5703125" style="1585" customWidth="1"/>
    <col min="7687" max="7688" width="14.140625" style="1585" customWidth="1"/>
    <col min="7689" max="7689" width="11.85546875" style="1585" customWidth="1"/>
    <col min="7690" max="7690" width="14.140625" style="1585" customWidth="1"/>
    <col min="7691" max="7691" width="13.28515625" style="1585" customWidth="1"/>
    <col min="7692" max="7697" width="11" style="1585" bestFit="1" customWidth="1"/>
    <col min="7698" max="7936" width="9.140625" style="1585"/>
    <col min="7937" max="7937" width="7.5703125" style="1585" customWidth="1"/>
    <col min="7938" max="7938" width="7.85546875" style="1585" customWidth="1"/>
    <col min="7939" max="7939" width="7.5703125" style="1585" customWidth="1"/>
    <col min="7940" max="7940" width="57.28515625" style="1585" customWidth="1"/>
    <col min="7941" max="7941" width="9" style="1585" customWidth="1"/>
    <col min="7942" max="7942" width="11.5703125" style="1585" customWidth="1"/>
    <col min="7943" max="7944" width="14.140625" style="1585" customWidth="1"/>
    <col min="7945" max="7945" width="11.85546875" style="1585" customWidth="1"/>
    <col min="7946" max="7946" width="14.140625" style="1585" customWidth="1"/>
    <col min="7947" max="7947" width="13.28515625" style="1585" customWidth="1"/>
    <col min="7948" max="7953" width="11" style="1585" bestFit="1" customWidth="1"/>
    <col min="7954" max="8192" width="9.140625" style="1585"/>
    <col min="8193" max="8193" width="7.5703125" style="1585" customWidth="1"/>
    <col min="8194" max="8194" width="7.85546875" style="1585" customWidth="1"/>
    <col min="8195" max="8195" width="7.5703125" style="1585" customWidth="1"/>
    <col min="8196" max="8196" width="57.28515625" style="1585" customWidth="1"/>
    <col min="8197" max="8197" width="9" style="1585" customWidth="1"/>
    <col min="8198" max="8198" width="11.5703125" style="1585" customWidth="1"/>
    <col min="8199" max="8200" width="14.140625" style="1585" customWidth="1"/>
    <col min="8201" max="8201" width="11.85546875" style="1585" customWidth="1"/>
    <col min="8202" max="8202" width="14.140625" style="1585" customWidth="1"/>
    <col min="8203" max="8203" width="13.28515625" style="1585" customWidth="1"/>
    <col min="8204" max="8209" width="11" style="1585" bestFit="1" customWidth="1"/>
    <col min="8210" max="8448" width="9.140625" style="1585"/>
    <col min="8449" max="8449" width="7.5703125" style="1585" customWidth="1"/>
    <col min="8450" max="8450" width="7.85546875" style="1585" customWidth="1"/>
    <col min="8451" max="8451" width="7.5703125" style="1585" customWidth="1"/>
    <col min="8452" max="8452" width="57.28515625" style="1585" customWidth="1"/>
    <col min="8453" max="8453" width="9" style="1585" customWidth="1"/>
    <col min="8454" max="8454" width="11.5703125" style="1585" customWidth="1"/>
    <col min="8455" max="8456" width="14.140625" style="1585" customWidth="1"/>
    <col min="8457" max="8457" width="11.85546875" style="1585" customWidth="1"/>
    <col min="8458" max="8458" width="14.140625" style="1585" customWidth="1"/>
    <col min="8459" max="8459" width="13.28515625" style="1585" customWidth="1"/>
    <col min="8460" max="8465" width="11" style="1585" bestFit="1" customWidth="1"/>
    <col min="8466" max="8704" width="9.140625" style="1585"/>
    <col min="8705" max="8705" width="7.5703125" style="1585" customWidth="1"/>
    <col min="8706" max="8706" width="7.85546875" style="1585" customWidth="1"/>
    <col min="8707" max="8707" width="7.5703125" style="1585" customWidth="1"/>
    <col min="8708" max="8708" width="57.28515625" style="1585" customWidth="1"/>
    <col min="8709" max="8709" width="9" style="1585" customWidth="1"/>
    <col min="8710" max="8710" width="11.5703125" style="1585" customWidth="1"/>
    <col min="8711" max="8712" width="14.140625" style="1585" customWidth="1"/>
    <col min="8713" max="8713" width="11.85546875" style="1585" customWidth="1"/>
    <col min="8714" max="8714" width="14.140625" style="1585" customWidth="1"/>
    <col min="8715" max="8715" width="13.28515625" style="1585" customWidth="1"/>
    <col min="8716" max="8721" width="11" style="1585" bestFit="1" customWidth="1"/>
    <col min="8722" max="8960" width="9.140625" style="1585"/>
    <col min="8961" max="8961" width="7.5703125" style="1585" customWidth="1"/>
    <col min="8962" max="8962" width="7.85546875" style="1585" customWidth="1"/>
    <col min="8963" max="8963" width="7.5703125" style="1585" customWidth="1"/>
    <col min="8964" max="8964" width="57.28515625" style="1585" customWidth="1"/>
    <col min="8965" max="8965" width="9" style="1585" customWidth="1"/>
    <col min="8966" max="8966" width="11.5703125" style="1585" customWidth="1"/>
    <col min="8967" max="8968" width="14.140625" style="1585" customWidth="1"/>
    <col min="8969" max="8969" width="11.85546875" style="1585" customWidth="1"/>
    <col min="8970" max="8970" width="14.140625" style="1585" customWidth="1"/>
    <col min="8971" max="8971" width="13.28515625" style="1585" customWidth="1"/>
    <col min="8972" max="8977" width="11" style="1585" bestFit="1" customWidth="1"/>
    <col min="8978" max="9216" width="9.140625" style="1585"/>
    <col min="9217" max="9217" width="7.5703125" style="1585" customWidth="1"/>
    <col min="9218" max="9218" width="7.85546875" style="1585" customWidth="1"/>
    <col min="9219" max="9219" width="7.5703125" style="1585" customWidth="1"/>
    <col min="9220" max="9220" width="57.28515625" style="1585" customWidth="1"/>
    <col min="9221" max="9221" width="9" style="1585" customWidth="1"/>
    <col min="9222" max="9222" width="11.5703125" style="1585" customWidth="1"/>
    <col min="9223" max="9224" width="14.140625" style="1585" customWidth="1"/>
    <col min="9225" max="9225" width="11.85546875" style="1585" customWidth="1"/>
    <col min="9226" max="9226" width="14.140625" style="1585" customWidth="1"/>
    <col min="9227" max="9227" width="13.28515625" style="1585" customWidth="1"/>
    <col min="9228" max="9233" width="11" style="1585" bestFit="1" customWidth="1"/>
    <col min="9234" max="9472" width="9.140625" style="1585"/>
    <col min="9473" max="9473" width="7.5703125" style="1585" customWidth="1"/>
    <col min="9474" max="9474" width="7.85546875" style="1585" customWidth="1"/>
    <col min="9475" max="9475" width="7.5703125" style="1585" customWidth="1"/>
    <col min="9476" max="9476" width="57.28515625" style="1585" customWidth="1"/>
    <col min="9477" max="9477" width="9" style="1585" customWidth="1"/>
    <col min="9478" max="9478" width="11.5703125" style="1585" customWidth="1"/>
    <col min="9479" max="9480" width="14.140625" style="1585" customWidth="1"/>
    <col min="9481" max="9481" width="11.85546875" style="1585" customWidth="1"/>
    <col min="9482" max="9482" width="14.140625" style="1585" customWidth="1"/>
    <col min="9483" max="9483" width="13.28515625" style="1585" customWidth="1"/>
    <col min="9484" max="9489" width="11" style="1585" bestFit="1" customWidth="1"/>
    <col min="9490" max="9728" width="9.140625" style="1585"/>
    <col min="9729" max="9729" width="7.5703125" style="1585" customWidth="1"/>
    <col min="9730" max="9730" width="7.85546875" style="1585" customWidth="1"/>
    <col min="9731" max="9731" width="7.5703125" style="1585" customWidth="1"/>
    <col min="9732" max="9732" width="57.28515625" style="1585" customWidth="1"/>
    <col min="9733" max="9733" width="9" style="1585" customWidth="1"/>
    <col min="9734" max="9734" width="11.5703125" style="1585" customWidth="1"/>
    <col min="9735" max="9736" width="14.140625" style="1585" customWidth="1"/>
    <col min="9737" max="9737" width="11.85546875" style="1585" customWidth="1"/>
    <col min="9738" max="9738" width="14.140625" style="1585" customWidth="1"/>
    <col min="9739" max="9739" width="13.28515625" style="1585" customWidth="1"/>
    <col min="9740" max="9745" width="11" style="1585" bestFit="1" customWidth="1"/>
    <col min="9746" max="9984" width="9.140625" style="1585"/>
    <col min="9985" max="9985" width="7.5703125" style="1585" customWidth="1"/>
    <col min="9986" max="9986" width="7.85546875" style="1585" customWidth="1"/>
    <col min="9987" max="9987" width="7.5703125" style="1585" customWidth="1"/>
    <col min="9988" max="9988" width="57.28515625" style="1585" customWidth="1"/>
    <col min="9989" max="9989" width="9" style="1585" customWidth="1"/>
    <col min="9990" max="9990" width="11.5703125" style="1585" customWidth="1"/>
    <col min="9991" max="9992" width="14.140625" style="1585" customWidth="1"/>
    <col min="9993" max="9993" width="11.85546875" style="1585" customWidth="1"/>
    <col min="9994" max="9994" width="14.140625" style="1585" customWidth="1"/>
    <col min="9995" max="9995" width="13.28515625" style="1585" customWidth="1"/>
    <col min="9996" max="10001" width="11" style="1585" bestFit="1" customWidth="1"/>
    <col min="10002" max="10240" width="9.140625" style="1585"/>
    <col min="10241" max="10241" width="7.5703125" style="1585" customWidth="1"/>
    <col min="10242" max="10242" width="7.85546875" style="1585" customWidth="1"/>
    <col min="10243" max="10243" width="7.5703125" style="1585" customWidth="1"/>
    <col min="10244" max="10244" width="57.28515625" style="1585" customWidth="1"/>
    <col min="10245" max="10245" width="9" style="1585" customWidth="1"/>
    <col min="10246" max="10246" width="11.5703125" style="1585" customWidth="1"/>
    <col min="10247" max="10248" width="14.140625" style="1585" customWidth="1"/>
    <col min="10249" max="10249" width="11.85546875" style="1585" customWidth="1"/>
    <col min="10250" max="10250" width="14.140625" style="1585" customWidth="1"/>
    <col min="10251" max="10251" width="13.28515625" style="1585" customWidth="1"/>
    <col min="10252" max="10257" width="11" style="1585" bestFit="1" customWidth="1"/>
    <col min="10258" max="10496" width="9.140625" style="1585"/>
    <col min="10497" max="10497" width="7.5703125" style="1585" customWidth="1"/>
    <col min="10498" max="10498" width="7.85546875" style="1585" customWidth="1"/>
    <col min="10499" max="10499" width="7.5703125" style="1585" customWidth="1"/>
    <col min="10500" max="10500" width="57.28515625" style="1585" customWidth="1"/>
    <col min="10501" max="10501" width="9" style="1585" customWidth="1"/>
    <col min="10502" max="10502" width="11.5703125" style="1585" customWidth="1"/>
    <col min="10503" max="10504" width="14.140625" style="1585" customWidth="1"/>
    <col min="10505" max="10505" width="11.85546875" style="1585" customWidth="1"/>
    <col min="10506" max="10506" width="14.140625" style="1585" customWidth="1"/>
    <col min="10507" max="10507" width="13.28515625" style="1585" customWidth="1"/>
    <col min="10508" max="10513" width="11" style="1585" bestFit="1" customWidth="1"/>
    <col min="10514" max="10752" width="9.140625" style="1585"/>
    <col min="10753" max="10753" width="7.5703125" style="1585" customWidth="1"/>
    <col min="10754" max="10754" width="7.85546875" style="1585" customWidth="1"/>
    <col min="10755" max="10755" width="7.5703125" style="1585" customWidth="1"/>
    <col min="10756" max="10756" width="57.28515625" style="1585" customWidth="1"/>
    <col min="10757" max="10757" width="9" style="1585" customWidth="1"/>
    <col min="10758" max="10758" width="11.5703125" style="1585" customWidth="1"/>
    <col min="10759" max="10760" width="14.140625" style="1585" customWidth="1"/>
    <col min="10761" max="10761" width="11.85546875" style="1585" customWidth="1"/>
    <col min="10762" max="10762" width="14.140625" style="1585" customWidth="1"/>
    <col min="10763" max="10763" width="13.28515625" style="1585" customWidth="1"/>
    <col min="10764" max="10769" width="11" style="1585" bestFit="1" customWidth="1"/>
    <col min="10770" max="11008" width="9.140625" style="1585"/>
    <col min="11009" max="11009" width="7.5703125" style="1585" customWidth="1"/>
    <col min="11010" max="11010" width="7.85546875" style="1585" customWidth="1"/>
    <col min="11011" max="11011" width="7.5703125" style="1585" customWidth="1"/>
    <col min="11012" max="11012" width="57.28515625" style="1585" customWidth="1"/>
    <col min="11013" max="11013" width="9" style="1585" customWidth="1"/>
    <col min="11014" max="11014" width="11.5703125" style="1585" customWidth="1"/>
    <col min="11015" max="11016" width="14.140625" style="1585" customWidth="1"/>
    <col min="11017" max="11017" width="11.85546875" style="1585" customWidth="1"/>
    <col min="11018" max="11018" width="14.140625" style="1585" customWidth="1"/>
    <col min="11019" max="11019" width="13.28515625" style="1585" customWidth="1"/>
    <col min="11020" max="11025" width="11" style="1585" bestFit="1" customWidth="1"/>
    <col min="11026" max="11264" width="9.140625" style="1585"/>
    <col min="11265" max="11265" width="7.5703125" style="1585" customWidth="1"/>
    <col min="11266" max="11266" width="7.85546875" style="1585" customWidth="1"/>
    <col min="11267" max="11267" width="7.5703125" style="1585" customWidth="1"/>
    <col min="11268" max="11268" width="57.28515625" style="1585" customWidth="1"/>
    <col min="11269" max="11269" width="9" style="1585" customWidth="1"/>
    <col min="11270" max="11270" width="11.5703125" style="1585" customWidth="1"/>
    <col min="11271" max="11272" width="14.140625" style="1585" customWidth="1"/>
    <col min="11273" max="11273" width="11.85546875" style="1585" customWidth="1"/>
    <col min="11274" max="11274" width="14.140625" style="1585" customWidth="1"/>
    <col min="11275" max="11275" width="13.28515625" style="1585" customWidth="1"/>
    <col min="11276" max="11281" width="11" style="1585" bestFit="1" customWidth="1"/>
    <col min="11282" max="11520" width="9.140625" style="1585"/>
    <col min="11521" max="11521" width="7.5703125" style="1585" customWidth="1"/>
    <col min="11522" max="11522" width="7.85546875" style="1585" customWidth="1"/>
    <col min="11523" max="11523" width="7.5703125" style="1585" customWidth="1"/>
    <col min="11524" max="11524" width="57.28515625" style="1585" customWidth="1"/>
    <col min="11525" max="11525" width="9" style="1585" customWidth="1"/>
    <col min="11526" max="11526" width="11.5703125" style="1585" customWidth="1"/>
    <col min="11527" max="11528" width="14.140625" style="1585" customWidth="1"/>
    <col min="11529" max="11529" width="11.85546875" style="1585" customWidth="1"/>
    <col min="11530" max="11530" width="14.140625" style="1585" customWidth="1"/>
    <col min="11531" max="11531" width="13.28515625" style="1585" customWidth="1"/>
    <col min="11532" max="11537" width="11" style="1585" bestFit="1" customWidth="1"/>
    <col min="11538" max="11776" width="9.140625" style="1585"/>
    <col min="11777" max="11777" width="7.5703125" style="1585" customWidth="1"/>
    <col min="11778" max="11778" width="7.85546875" style="1585" customWidth="1"/>
    <col min="11779" max="11779" width="7.5703125" style="1585" customWidth="1"/>
    <col min="11780" max="11780" width="57.28515625" style="1585" customWidth="1"/>
    <col min="11781" max="11781" width="9" style="1585" customWidth="1"/>
    <col min="11782" max="11782" width="11.5703125" style="1585" customWidth="1"/>
    <col min="11783" max="11784" width="14.140625" style="1585" customWidth="1"/>
    <col min="11785" max="11785" width="11.85546875" style="1585" customWidth="1"/>
    <col min="11786" max="11786" width="14.140625" style="1585" customWidth="1"/>
    <col min="11787" max="11787" width="13.28515625" style="1585" customWidth="1"/>
    <col min="11788" max="11793" width="11" style="1585" bestFit="1" customWidth="1"/>
    <col min="11794" max="12032" width="9.140625" style="1585"/>
    <col min="12033" max="12033" width="7.5703125" style="1585" customWidth="1"/>
    <col min="12034" max="12034" width="7.85546875" style="1585" customWidth="1"/>
    <col min="12035" max="12035" width="7.5703125" style="1585" customWidth="1"/>
    <col min="12036" max="12036" width="57.28515625" style="1585" customWidth="1"/>
    <col min="12037" max="12037" width="9" style="1585" customWidth="1"/>
    <col min="12038" max="12038" width="11.5703125" style="1585" customWidth="1"/>
    <col min="12039" max="12040" width="14.140625" style="1585" customWidth="1"/>
    <col min="12041" max="12041" width="11.85546875" style="1585" customWidth="1"/>
    <col min="12042" max="12042" width="14.140625" style="1585" customWidth="1"/>
    <col min="12043" max="12043" width="13.28515625" style="1585" customWidth="1"/>
    <col min="12044" max="12049" width="11" style="1585" bestFit="1" customWidth="1"/>
    <col min="12050" max="12288" width="9.140625" style="1585"/>
    <col min="12289" max="12289" width="7.5703125" style="1585" customWidth="1"/>
    <col min="12290" max="12290" width="7.85546875" style="1585" customWidth="1"/>
    <col min="12291" max="12291" width="7.5703125" style="1585" customWidth="1"/>
    <col min="12292" max="12292" width="57.28515625" style="1585" customWidth="1"/>
    <col min="12293" max="12293" width="9" style="1585" customWidth="1"/>
    <col min="12294" max="12294" width="11.5703125" style="1585" customWidth="1"/>
    <col min="12295" max="12296" width="14.140625" style="1585" customWidth="1"/>
    <col min="12297" max="12297" width="11.85546875" style="1585" customWidth="1"/>
    <col min="12298" max="12298" width="14.140625" style="1585" customWidth="1"/>
    <col min="12299" max="12299" width="13.28515625" style="1585" customWidth="1"/>
    <col min="12300" max="12305" width="11" style="1585" bestFit="1" customWidth="1"/>
    <col min="12306" max="12544" width="9.140625" style="1585"/>
    <col min="12545" max="12545" width="7.5703125" style="1585" customWidth="1"/>
    <col min="12546" max="12546" width="7.85546875" style="1585" customWidth="1"/>
    <col min="12547" max="12547" width="7.5703125" style="1585" customWidth="1"/>
    <col min="12548" max="12548" width="57.28515625" style="1585" customWidth="1"/>
    <col min="12549" max="12549" width="9" style="1585" customWidth="1"/>
    <col min="12550" max="12550" width="11.5703125" style="1585" customWidth="1"/>
    <col min="12551" max="12552" width="14.140625" style="1585" customWidth="1"/>
    <col min="12553" max="12553" width="11.85546875" style="1585" customWidth="1"/>
    <col min="12554" max="12554" width="14.140625" style="1585" customWidth="1"/>
    <col min="12555" max="12555" width="13.28515625" style="1585" customWidth="1"/>
    <col min="12556" max="12561" width="11" style="1585" bestFit="1" customWidth="1"/>
    <col min="12562" max="12800" width="9.140625" style="1585"/>
    <col min="12801" max="12801" width="7.5703125" style="1585" customWidth="1"/>
    <col min="12802" max="12802" width="7.85546875" style="1585" customWidth="1"/>
    <col min="12803" max="12803" width="7.5703125" style="1585" customWidth="1"/>
    <col min="12804" max="12804" width="57.28515625" style="1585" customWidth="1"/>
    <col min="12805" max="12805" width="9" style="1585" customWidth="1"/>
    <col min="12806" max="12806" width="11.5703125" style="1585" customWidth="1"/>
    <col min="12807" max="12808" width="14.140625" style="1585" customWidth="1"/>
    <col min="12809" max="12809" width="11.85546875" style="1585" customWidth="1"/>
    <col min="12810" max="12810" width="14.140625" style="1585" customWidth="1"/>
    <col min="12811" max="12811" width="13.28515625" style="1585" customWidth="1"/>
    <col min="12812" max="12817" width="11" style="1585" bestFit="1" customWidth="1"/>
    <col min="12818" max="13056" width="9.140625" style="1585"/>
    <col min="13057" max="13057" width="7.5703125" style="1585" customWidth="1"/>
    <col min="13058" max="13058" width="7.85546875" style="1585" customWidth="1"/>
    <col min="13059" max="13059" width="7.5703125" style="1585" customWidth="1"/>
    <col min="13060" max="13060" width="57.28515625" style="1585" customWidth="1"/>
    <col min="13061" max="13061" width="9" style="1585" customWidth="1"/>
    <col min="13062" max="13062" width="11.5703125" style="1585" customWidth="1"/>
    <col min="13063" max="13064" width="14.140625" style="1585" customWidth="1"/>
    <col min="13065" max="13065" width="11.85546875" style="1585" customWidth="1"/>
    <col min="13066" max="13066" width="14.140625" style="1585" customWidth="1"/>
    <col min="13067" max="13067" width="13.28515625" style="1585" customWidth="1"/>
    <col min="13068" max="13073" width="11" style="1585" bestFit="1" customWidth="1"/>
    <col min="13074" max="13312" width="9.140625" style="1585"/>
    <col min="13313" max="13313" width="7.5703125" style="1585" customWidth="1"/>
    <col min="13314" max="13314" width="7.85546875" style="1585" customWidth="1"/>
    <col min="13315" max="13315" width="7.5703125" style="1585" customWidth="1"/>
    <col min="13316" max="13316" width="57.28515625" style="1585" customWidth="1"/>
    <col min="13317" max="13317" width="9" style="1585" customWidth="1"/>
    <col min="13318" max="13318" width="11.5703125" style="1585" customWidth="1"/>
    <col min="13319" max="13320" width="14.140625" style="1585" customWidth="1"/>
    <col min="13321" max="13321" width="11.85546875" style="1585" customWidth="1"/>
    <col min="13322" max="13322" width="14.140625" style="1585" customWidth="1"/>
    <col min="13323" max="13323" width="13.28515625" style="1585" customWidth="1"/>
    <col min="13324" max="13329" width="11" style="1585" bestFit="1" customWidth="1"/>
    <col min="13330" max="13568" width="9.140625" style="1585"/>
    <col min="13569" max="13569" width="7.5703125" style="1585" customWidth="1"/>
    <col min="13570" max="13570" width="7.85546875" style="1585" customWidth="1"/>
    <col min="13571" max="13571" width="7.5703125" style="1585" customWidth="1"/>
    <col min="13572" max="13572" width="57.28515625" style="1585" customWidth="1"/>
    <col min="13573" max="13573" width="9" style="1585" customWidth="1"/>
    <col min="13574" max="13574" width="11.5703125" style="1585" customWidth="1"/>
    <col min="13575" max="13576" width="14.140625" style="1585" customWidth="1"/>
    <col min="13577" max="13577" width="11.85546875" style="1585" customWidth="1"/>
    <col min="13578" max="13578" width="14.140625" style="1585" customWidth="1"/>
    <col min="13579" max="13579" width="13.28515625" style="1585" customWidth="1"/>
    <col min="13580" max="13585" width="11" style="1585" bestFit="1" customWidth="1"/>
    <col min="13586" max="13824" width="9.140625" style="1585"/>
    <col min="13825" max="13825" width="7.5703125" style="1585" customWidth="1"/>
    <col min="13826" max="13826" width="7.85546875" style="1585" customWidth="1"/>
    <col min="13827" max="13827" width="7.5703125" style="1585" customWidth="1"/>
    <col min="13828" max="13828" width="57.28515625" style="1585" customWidth="1"/>
    <col min="13829" max="13829" width="9" style="1585" customWidth="1"/>
    <col min="13830" max="13830" width="11.5703125" style="1585" customWidth="1"/>
    <col min="13831" max="13832" width="14.140625" style="1585" customWidth="1"/>
    <col min="13833" max="13833" width="11.85546875" style="1585" customWidth="1"/>
    <col min="13834" max="13834" width="14.140625" style="1585" customWidth="1"/>
    <col min="13835" max="13835" width="13.28515625" style="1585" customWidth="1"/>
    <col min="13836" max="13841" width="11" style="1585" bestFit="1" customWidth="1"/>
    <col min="13842" max="14080" width="9.140625" style="1585"/>
    <col min="14081" max="14081" width="7.5703125" style="1585" customWidth="1"/>
    <col min="14082" max="14082" width="7.85546875" style="1585" customWidth="1"/>
    <col min="14083" max="14083" width="7.5703125" style="1585" customWidth="1"/>
    <col min="14084" max="14084" width="57.28515625" style="1585" customWidth="1"/>
    <col min="14085" max="14085" width="9" style="1585" customWidth="1"/>
    <col min="14086" max="14086" width="11.5703125" style="1585" customWidth="1"/>
    <col min="14087" max="14088" width="14.140625" style="1585" customWidth="1"/>
    <col min="14089" max="14089" width="11.85546875" style="1585" customWidth="1"/>
    <col min="14090" max="14090" width="14.140625" style="1585" customWidth="1"/>
    <col min="14091" max="14091" width="13.28515625" style="1585" customWidth="1"/>
    <col min="14092" max="14097" width="11" style="1585" bestFit="1" customWidth="1"/>
    <col min="14098" max="14336" width="9.140625" style="1585"/>
    <col min="14337" max="14337" width="7.5703125" style="1585" customWidth="1"/>
    <col min="14338" max="14338" width="7.85546875" style="1585" customWidth="1"/>
    <col min="14339" max="14339" width="7.5703125" style="1585" customWidth="1"/>
    <col min="14340" max="14340" width="57.28515625" style="1585" customWidth="1"/>
    <col min="14341" max="14341" width="9" style="1585" customWidth="1"/>
    <col min="14342" max="14342" width="11.5703125" style="1585" customWidth="1"/>
    <col min="14343" max="14344" width="14.140625" style="1585" customWidth="1"/>
    <col min="14345" max="14345" width="11.85546875" style="1585" customWidth="1"/>
    <col min="14346" max="14346" width="14.140625" style="1585" customWidth="1"/>
    <col min="14347" max="14347" width="13.28515625" style="1585" customWidth="1"/>
    <col min="14348" max="14353" width="11" style="1585" bestFit="1" customWidth="1"/>
    <col min="14354" max="14592" width="9.140625" style="1585"/>
    <col min="14593" max="14593" width="7.5703125" style="1585" customWidth="1"/>
    <col min="14594" max="14594" width="7.85546875" style="1585" customWidth="1"/>
    <col min="14595" max="14595" width="7.5703125" style="1585" customWidth="1"/>
    <col min="14596" max="14596" width="57.28515625" style="1585" customWidth="1"/>
    <col min="14597" max="14597" width="9" style="1585" customWidth="1"/>
    <col min="14598" max="14598" width="11.5703125" style="1585" customWidth="1"/>
    <col min="14599" max="14600" width="14.140625" style="1585" customWidth="1"/>
    <col min="14601" max="14601" width="11.85546875" style="1585" customWidth="1"/>
    <col min="14602" max="14602" width="14.140625" style="1585" customWidth="1"/>
    <col min="14603" max="14603" width="13.28515625" style="1585" customWidth="1"/>
    <col min="14604" max="14609" width="11" style="1585" bestFit="1" customWidth="1"/>
    <col min="14610" max="14848" width="9.140625" style="1585"/>
    <col min="14849" max="14849" width="7.5703125" style="1585" customWidth="1"/>
    <col min="14850" max="14850" width="7.85546875" style="1585" customWidth="1"/>
    <col min="14851" max="14851" width="7.5703125" style="1585" customWidth="1"/>
    <col min="14852" max="14852" width="57.28515625" style="1585" customWidth="1"/>
    <col min="14853" max="14853" width="9" style="1585" customWidth="1"/>
    <col min="14854" max="14854" width="11.5703125" style="1585" customWidth="1"/>
    <col min="14855" max="14856" width="14.140625" style="1585" customWidth="1"/>
    <col min="14857" max="14857" width="11.85546875" style="1585" customWidth="1"/>
    <col min="14858" max="14858" width="14.140625" style="1585" customWidth="1"/>
    <col min="14859" max="14859" width="13.28515625" style="1585" customWidth="1"/>
    <col min="14860" max="14865" width="11" style="1585" bestFit="1" customWidth="1"/>
    <col min="14866" max="15104" width="9.140625" style="1585"/>
    <col min="15105" max="15105" width="7.5703125" style="1585" customWidth="1"/>
    <col min="15106" max="15106" width="7.85546875" style="1585" customWidth="1"/>
    <col min="15107" max="15107" width="7.5703125" style="1585" customWidth="1"/>
    <col min="15108" max="15108" width="57.28515625" style="1585" customWidth="1"/>
    <col min="15109" max="15109" width="9" style="1585" customWidth="1"/>
    <col min="15110" max="15110" width="11.5703125" style="1585" customWidth="1"/>
    <col min="15111" max="15112" width="14.140625" style="1585" customWidth="1"/>
    <col min="15113" max="15113" width="11.85546875" style="1585" customWidth="1"/>
    <col min="15114" max="15114" width="14.140625" style="1585" customWidth="1"/>
    <col min="15115" max="15115" width="13.28515625" style="1585" customWidth="1"/>
    <col min="15116" max="15121" width="11" style="1585" bestFit="1" customWidth="1"/>
    <col min="15122" max="15360" width="9.140625" style="1585"/>
    <col min="15361" max="15361" width="7.5703125" style="1585" customWidth="1"/>
    <col min="15362" max="15362" width="7.85546875" style="1585" customWidth="1"/>
    <col min="15363" max="15363" width="7.5703125" style="1585" customWidth="1"/>
    <col min="15364" max="15364" width="57.28515625" style="1585" customWidth="1"/>
    <col min="15365" max="15365" width="9" style="1585" customWidth="1"/>
    <col min="15366" max="15366" width="11.5703125" style="1585" customWidth="1"/>
    <col min="15367" max="15368" width="14.140625" style="1585" customWidth="1"/>
    <col min="15369" max="15369" width="11.85546875" style="1585" customWidth="1"/>
    <col min="15370" max="15370" width="14.140625" style="1585" customWidth="1"/>
    <col min="15371" max="15371" width="13.28515625" style="1585" customWidth="1"/>
    <col min="15372" max="15377" width="11" style="1585" bestFit="1" customWidth="1"/>
    <col min="15378" max="15616" width="9.140625" style="1585"/>
    <col min="15617" max="15617" width="7.5703125" style="1585" customWidth="1"/>
    <col min="15618" max="15618" width="7.85546875" style="1585" customWidth="1"/>
    <col min="15619" max="15619" width="7.5703125" style="1585" customWidth="1"/>
    <col min="15620" max="15620" width="57.28515625" style="1585" customWidth="1"/>
    <col min="15621" max="15621" width="9" style="1585" customWidth="1"/>
    <col min="15622" max="15622" width="11.5703125" style="1585" customWidth="1"/>
    <col min="15623" max="15624" width="14.140625" style="1585" customWidth="1"/>
    <col min="15625" max="15625" width="11.85546875" style="1585" customWidth="1"/>
    <col min="15626" max="15626" width="14.140625" style="1585" customWidth="1"/>
    <col min="15627" max="15627" width="13.28515625" style="1585" customWidth="1"/>
    <col min="15628" max="15633" width="11" style="1585" bestFit="1" customWidth="1"/>
    <col min="15634" max="15872" width="9.140625" style="1585"/>
    <col min="15873" max="15873" width="7.5703125" style="1585" customWidth="1"/>
    <col min="15874" max="15874" width="7.85546875" style="1585" customWidth="1"/>
    <col min="15875" max="15875" width="7.5703125" style="1585" customWidth="1"/>
    <col min="15876" max="15876" width="57.28515625" style="1585" customWidth="1"/>
    <col min="15877" max="15877" width="9" style="1585" customWidth="1"/>
    <col min="15878" max="15878" width="11.5703125" style="1585" customWidth="1"/>
    <col min="15879" max="15880" width="14.140625" style="1585" customWidth="1"/>
    <col min="15881" max="15881" width="11.85546875" style="1585" customWidth="1"/>
    <col min="15882" max="15882" width="14.140625" style="1585" customWidth="1"/>
    <col min="15883" max="15883" width="13.28515625" style="1585" customWidth="1"/>
    <col min="15884" max="15889" width="11" style="1585" bestFit="1" customWidth="1"/>
    <col min="15890" max="16128" width="9.140625" style="1585"/>
    <col min="16129" max="16129" width="7.5703125" style="1585" customWidth="1"/>
    <col min="16130" max="16130" width="7.85546875" style="1585" customWidth="1"/>
    <col min="16131" max="16131" width="7.5703125" style="1585" customWidth="1"/>
    <col min="16132" max="16132" width="57.28515625" style="1585" customWidth="1"/>
    <col min="16133" max="16133" width="9" style="1585" customWidth="1"/>
    <col min="16134" max="16134" width="11.5703125" style="1585" customWidth="1"/>
    <col min="16135" max="16136" width="14.140625" style="1585" customWidth="1"/>
    <col min="16137" max="16137" width="11.85546875" style="1585" customWidth="1"/>
    <col min="16138" max="16138" width="14.140625" style="1585" customWidth="1"/>
    <col min="16139" max="16139" width="13.28515625" style="1585" customWidth="1"/>
    <col min="16140" max="16145" width="11" style="1585" bestFit="1" customWidth="1"/>
    <col min="16146" max="16384" width="9.140625" style="1585"/>
  </cols>
  <sheetData>
    <row r="1" spans="1:16">
      <c r="A1" s="2677" t="s">
        <v>1970</v>
      </c>
      <c r="B1" s="2677"/>
      <c r="C1" s="2677"/>
      <c r="D1" s="2677"/>
      <c r="E1" s="2677"/>
      <c r="F1" s="2677"/>
      <c r="G1" s="2677"/>
      <c r="H1" s="2677"/>
      <c r="I1" s="2677"/>
      <c r="J1" s="2677"/>
      <c r="K1" s="2677"/>
    </row>
    <row r="2" spans="1:16" ht="25.35" customHeight="1">
      <c r="A2" s="2060" t="s">
        <v>2004</v>
      </c>
      <c r="C2" s="2060" t="str">
        <f>+ปร.5_Roads!C4&amp;"  "&amp;ปร.5_Roads!C6&amp;"  "&amp;ปร.5_Roads!F6&amp;"  "&amp;ปร.5_Roads!C7</f>
        <v>บำรุงพิเศษ ซ่อมสร้างผิวทาง Asphaltic Concrete   ปน.4031  แยกทางหลวงหมายเลข 4157-บ้านปาตา  อำเภอ  ปะนาเระ,ยะหริ่ง จังหวัด ปัตตานี</v>
      </c>
      <c r="I2" s="2061"/>
      <c r="J2" s="2061"/>
      <c r="K2" s="2061"/>
    </row>
    <row r="3" spans="1:16" ht="25.35" customHeight="1">
      <c r="A3" s="2060" t="s">
        <v>21</v>
      </c>
      <c r="C3" s="2062">
        <v>0.77500000000000002</v>
      </c>
      <c r="D3" s="2060" t="s">
        <v>40</v>
      </c>
      <c r="E3" s="2060" t="s">
        <v>2005</v>
      </c>
      <c r="F3" s="2063">
        <v>8225</v>
      </c>
      <c r="G3" s="2064" t="s">
        <v>2003</v>
      </c>
      <c r="H3" s="2063">
        <v>9000</v>
      </c>
      <c r="I3" s="2061"/>
      <c r="J3" s="2061"/>
      <c r="K3" s="2061"/>
    </row>
    <row r="4" spans="1:16" ht="25.35" customHeight="1">
      <c r="A4" s="2065" t="s">
        <v>248</v>
      </c>
      <c r="C4" s="2060" t="s">
        <v>2016</v>
      </c>
      <c r="E4" s="2066" t="s">
        <v>1971</v>
      </c>
      <c r="F4" s="2065">
        <v>6</v>
      </c>
      <c r="G4" s="2066" t="s">
        <v>47</v>
      </c>
      <c r="I4" s="2061"/>
      <c r="J4" s="2061"/>
      <c r="K4" s="2061"/>
    </row>
    <row r="5" spans="1:16" ht="25.35" customHeight="1">
      <c r="A5" s="2065" t="s">
        <v>249</v>
      </c>
      <c r="E5" s="2066" t="s">
        <v>2006</v>
      </c>
      <c r="F5" s="2065">
        <v>0</v>
      </c>
      <c r="G5" s="2066" t="s">
        <v>47</v>
      </c>
      <c r="I5" s="2061"/>
      <c r="J5" s="2061"/>
      <c r="K5" s="2061"/>
    </row>
    <row r="6" spans="1:16" ht="25.35" customHeight="1">
      <c r="A6" s="2065" t="s">
        <v>213</v>
      </c>
      <c r="C6" s="2067"/>
      <c r="D6" s="2068" t="str">
        <f>+ปร.5_Roads!H3</f>
        <v>วันที่ 10  พฤศจิกายน พ.ศ. 2558</v>
      </c>
      <c r="I6" s="2061"/>
      <c r="J6" s="2061"/>
      <c r="K6" s="2061"/>
    </row>
    <row r="7" spans="1:16" ht="9.75" customHeight="1">
      <c r="A7" s="2069"/>
      <c r="I7" s="2061"/>
      <c r="J7" s="2061"/>
      <c r="K7" s="2061"/>
    </row>
    <row r="8" spans="1:16">
      <c r="A8" s="2678" t="s">
        <v>1972</v>
      </c>
      <c r="B8" s="2680" t="s">
        <v>1</v>
      </c>
      <c r="C8" s="2681"/>
      <c r="D8" s="2681"/>
      <c r="E8" s="2684" t="s">
        <v>23</v>
      </c>
      <c r="F8" s="2685" t="s">
        <v>1973</v>
      </c>
      <c r="G8" s="2687" t="s">
        <v>1974</v>
      </c>
      <c r="H8" s="2688"/>
      <c r="I8" s="2689" t="s">
        <v>2</v>
      </c>
      <c r="J8" s="2691" t="s">
        <v>1975</v>
      </c>
      <c r="K8" s="2691"/>
    </row>
    <row r="9" spans="1:16">
      <c r="A9" s="2679"/>
      <c r="B9" s="2682"/>
      <c r="C9" s="2683"/>
      <c r="D9" s="2683"/>
      <c r="E9" s="2684"/>
      <c r="F9" s="2686"/>
      <c r="G9" s="2302" t="s">
        <v>234</v>
      </c>
      <c r="H9" s="2303" t="s">
        <v>28</v>
      </c>
      <c r="I9" s="2690"/>
      <c r="J9" s="2302" t="s">
        <v>234</v>
      </c>
      <c r="K9" s="2303" t="s">
        <v>28</v>
      </c>
    </row>
    <row r="10" spans="1:16" ht="26.25">
      <c r="A10" s="2070"/>
      <c r="B10" s="2071" t="s">
        <v>1976</v>
      </c>
      <c r="C10" s="2072"/>
      <c r="D10" s="2073"/>
      <c r="E10" s="2074"/>
      <c r="F10" s="2075"/>
      <c r="G10" s="2076"/>
      <c r="H10" s="2077"/>
      <c r="I10" s="2078"/>
      <c r="J10" s="2078"/>
      <c r="K10" s="2078"/>
    </row>
    <row r="11" spans="1:16">
      <c r="A11" s="2079">
        <v>1</v>
      </c>
      <c r="B11" s="2080" t="s">
        <v>1977</v>
      </c>
      <c r="C11" s="2080"/>
      <c r="D11" s="2081"/>
      <c r="E11" s="2080"/>
      <c r="F11" s="2082"/>
      <c r="G11" s="2082"/>
      <c r="H11" s="2082"/>
      <c r="I11" s="2083"/>
      <c r="J11" s="2083"/>
      <c r="K11" s="2083"/>
    </row>
    <row r="12" spans="1:16">
      <c r="A12" s="2079"/>
      <c r="B12" s="2084">
        <v>1.1000000000000001</v>
      </c>
      <c r="C12" s="2080" t="s">
        <v>1978</v>
      </c>
      <c r="D12" s="2081"/>
      <c r="E12" s="2085"/>
      <c r="F12" s="2086"/>
      <c r="G12" s="2086"/>
      <c r="H12" s="2086"/>
      <c r="I12" s="2087"/>
      <c r="J12" s="2088"/>
      <c r="K12" s="2086">
        <f>ROUNDDOWN(F12*J12,2)</f>
        <v>0</v>
      </c>
      <c r="M12" s="1288"/>
    </row>
    <row r="13" spans="1:16">
      <c r="A13" s="2079"/>
      <c r="B13" s="2084"/>
      <c r="C13" s="2080" t="s">
        <v>1979</v>
      </c>
      <c r="D13" s="2081"/>
      <c r="E13" s="2089" t="s">
        <v>108</v>
      </c>
      <c r="F13" s="2086"/>
      <c r="G13" s="2086">
        <v>5900</v>
      </c>
      <c r="H13" s="2090">
        <f t="shared" ref="H13:H28" si="0">ROUNDDOWN(F13*G13,2)</f>
        <v>0</v>
      </c>
      <c r="I13" s="2087">
        <v>1.07</v>
      </c>
      <c r="J13" s="2088">
        <f>ROUNDDOWN(G13*I13,2)</f>
        <v>6313</v>
      </c>
      <c r="K13" s="2086">
        <f>ROUNDDOWN(H13*I13,2)</f>
        <v>0</v>
      </c>
      <c r="M13" s="1288"/>
    </row>
    <row r="14" spans="1:16">
      <c r="A14" s="2079"/>
      <c r="B14" s="2084"/>
      <c r="C14" s="2080" t="s">
        <v>1980</v>
      </c>
      <c r="D14" s="2081"/>
      <c r="E14" s="2089" t="s">
        <v>1981</v>
      </c>
      <c r="F14" s="2086"/>
      <c r="G14" s="2086">
        <v>47000</v>
      </c>
      <c r="H14" s="2090">
        <f t="shared" si="0"/>
        <v>0</v>
      </c>
      <c r="I14" s="2087">
        <v>1.07</v>
      </c>
      <c r="J14" s="2088">
        <f>ROUNDDOWN(G14*I14,2)</f>
        <v>50290</v>
      </c>
      <c r="K14" s="2086">
        <f t="shared" ref="K14:K28" si="1">ROUNDDOWN(H14*I14,2)</f>
        <v>0</v>
      </c>
      <c r="M14" s="1288"/>
    </row>
    <row r="15" spans="1:16">
      <c r="A15" s="2079">
        <v>2</v>
      </c>
      <c r="B15" s="2091" t="s">
        <v>1982</v>
      </c>
      <c r="C15" s="2080"/>
      <c r="D15" s="2081"/>
      <c r="E15" s="2064" t="s">
        <v>108</v>
      </c>
      <c r="F15" s="2086">
        <v>3</v>
      </c>
      <c r="G15" s="2086">
        <v>10000</v>
      </c>
      <c r="H15" s="2086">
        <f t="shared" si="0"/>
        <v>30000</v>
      </c>
      <c r="I15" s="2087">
        <v>1.07</v>
      </c>
      <c r="J15" s="2088">
        <f>ROUNDDOWN(G15*I15,2)</f>
        <v>10700</v>
      </c>
      <c r="K15" s="2086">
        <f t="shared" si="1"/>
        <v>32100</v>
      </c>
      <c r="P15" s="2092"/>
    </row>
    <row r="16" spans="1:16">
      <c r="A16" s="2079">
        <v>3</v>
      </c>
      <c r="B16" s="2091" t="s">
        <v>1983</v>
      </c>
      <c r="C16" s="2093"/>
      <c r="D16" s="2081"/>
      <c r="E16" s="2064" t="s">
        <v>108</v>
      </c>
      <c r="F16" s="2086">
        <v>0</v>
      </c>
      <c r="G16" s="2086">
        <v>1900</v>
      </c>
      <c r="H16" s="2090">
        <f t="shared" si="0"/>
        <v>0</v>
      </c>
      <c r="I16" s="2087">
        <v>1.07</v>
      </c>
      <c r="J16" s="2088">
        <f>ROUNDDOWN(G16*I16,2)</f>
        <v>2033</v>
      </c>
      <c r="K16" s="2086">
        <f t="shared" si="1"/>
        <v>0</v>
      </c>
      <c r="M16" s="1288"/>
    </row>
    <row r="17" spans="1:17">
      <c r="A17" s="2094">
        <v>4</v>
      </c>
      <c r="B17" s="2091" t="s">
        <v>1984</v>
      </c>
      <c r="C17" s="2095"/>
      <c r="D17" s="2096"/>
      <c r="E17" s="2064" t="s">
        <v>108</v>
      </c>
      <c r="F17" s="2086">
        <v>0</v>
      </c>
      <c r="G17" s="2082">
        <v>36000</v>
      </c>
      <c r="H17" s="2090">
        <f t="shared" si="0"/>
        <v>0</v>
      </c>
      <c r="I17" s="2087">
        <v>1.07</v>
      </c>
      <c r="J17" s="2088">
        <f>ROUNDDOWN(G17*I17,2)</f>
        <v>38520</v>
      </c>
      <c r="K17" s="2086">
        <f t="shared" si="1"/>
        <v>0</v>
      </c>
    </row>
    <row r="18" spans="1:17">
      <c r="A18" s="2079">
        <v>2</v>
      </c>
      <c r="B18" s="2080" t="s">
        <v>1985</v>
      </c>
      <c r="C18" s="2080"/>
      <c r="D18" s="2081"/>
      <c r="E18" s="2080"/>
      <c r="F18" s="2082"/>
      <c r="G18" s="2082"/>
      <c r="H18" s="2090">
        <f t="shared" si="0"/>
        <v>0</v>
      </c>
      <c r="I18" s="2083"/>
      <c r="J18" s="2083"/>
      <c r="K18" s="2086">
        <f t="shared" si="1"/>
        <v>0</v>
      </c>
      <c r="P18" s="1288"/>
    </row>
    <row r="19" spans="1:17">
      <c r="A19" s="2079"/>
      <c r="B19" s="2084">
        <v>2.1</v>
      </c>
      <c r="C19" s="2080" t="s">
        <v>1986</v>
      </c>
      <c r="D19" s="2081"/>
      <c r="E19" s="2097" t="s">
        <v>1987</v>
      </c>
      <c r="F19" s="2082"/>
      <c r="G19" s="2082"/>
      <c r="H19" s="2090">
        <f t="shared" si="0"/>
        <v>0</v>
      </c>
      <c r="I19" s="2087">
        <v>1.07</v>
      </c>
      <c r="J19" s="2088">
        <f>ROUNDDOWN(G19*I19,2)</f>
        <v>0</v>
      </c>
      <c r="K19" s="2086">
        <f t="shared" si="1"/>
        <v>0</v>
      </c>
      <c r="N19" s="2098"/>
      <c r="P19" s="1288"/>
    </row>
    <row r="20" spans="1:17">
      <c r="A20" s="2079"/>
      <c r="B20" s="2084">
        <v>2.2000000000000002</v>
      </c>
      <c r="C20" s="2080" t="s">
        <v>1988</v>
      </c>
      <c r="D20" s="2081"/>
      <c r="E20" s="2097" t="s">
        <v>1987</v>
      </c>
      <c r="F20" s="2086"/>
      <c r="G20" s="2086"/>
      <c r="H20" s="2090">
        <f t="shared" si="0"/>
        <v>0</v>
      </c>
      <c r="I20" s="2087">
        <v>1.07</v>
      </c>
      <c r="J20" s="2088">
        <f>ROUNDDOWN(G20*I20,2)</f>
        <v>0</v>
      </c>
      <c r="K20" s="2086">
        <f t="shared" si="1"/>
        <v>0</v>
      </c>
      <c r="M20" s="1288"/>
      <c r="O20" s="2098"/>
      <c r="Q20" s="2098"/>
    </row>
    <row r="21" spans="1:17">
      <c r="A21" s="2079"/>
      <c r="B21" s="2084"/>
      <c r="C21" s="2080" t="s">
        <v>1989</v>
      </c>
      <c r="D21" s="2081"/>
      <c r="E21" s="2097"/>
      <c r="F21" s="2082"/>
      <c r="G21" s="2082"/>
      <c r="H21" s="2090">
        <f t="shared" si="0"/>
        <v>0</v>
      </c>
      <c r="I21" s="2087"/>
      <c r="J21" s="2088"/>
      <c r="K21" s="2086">
        <f t="shared" si="1"/>
        <v>0</v>
      </c>
      <c r="M21" s="1288"/>
      <c r="N21" s="2098"/>
      <c r="O21" s="2098"/>
    </row>
    <row r="22" spans="1:17">
      <c r="A22" s="2079"/>
      <c r="B22" s="2084">
        <v>2.2999999999999998</v>
      </c>
      <c r="C22" s="2060" t="s">
        <v>1990</v>
      </c>
      <c r="D22" s="2081"/>
      <c r="E22" s="2097" t="s">
        <v>1987</v>
      </c>
      <c r="F22" s="2082"/>
      <c r="G22" s="2082"/>
      <c r="H22" s="2090">
        <f t="shared" si="0"/>
        <v>0</v>
      </c>
      <c r="I22" s="2087">
        <v>1.07</v>
      </c>
      <c r="J22" s="2088">
        <f>ROUNDDOWN(G22*I22,2)</f>
        <v>0</v>
      </c>
      <c r="K22" s="2086">
        <f t="shared" si="1"/>
        <v>0</v>
      </c>
    </row>
    <row r="23" spans="1:17">
      <c r="A23" s="2079"/>
      <c r="B23" s="2084">
        <v>2.4</v>
      </c>
      <c r="C23" s="2060" t="s">
        <v>1991</v>
      </c>
      <c r="D23" s="2081"/>
      <c r="E23" s="2099" t="s">
        <v>1987</v>
      </c>
      <c r="F23" s="2082"/>
      <c r="G23" s="2082"/>
      <c r="H23" s="2090">
        <f t="shared" si="0"/>
        <v>0</v>
      </c>
      <c r="I23" s="2087">
        <v>1.07</v>
      </c>
      <c r="J23" s="2088">
        <f>ROUNDDOWN(G23*I23,2)</f>
        <v>0</v>
      </c>
      <c r="K23" s="2086">
        <f t="shared" si="1"/>
        <v>0</v>
      </c>
    </row>
    <row r="24" spans="1:17">
      <c r="A24" s="2079"/>
      <c r="B24" s="2084">
        <v>2.5</v>
      </c>
      <c r="C24" s="2080" t="s">
        <v>1992</v>
      </c>
      <c r="D24" s="2081"/>
      <c r="E24" s="2097" t="s">
        <v>1987</v>
      </c>
      <c r="F24" s="2086"/>
      <c r="G24" s="2086">
        <v>29000</v>
      </c>
      <c r="H24" s="2090">
        <f t="shared" si="0"/>
        <v>0</v>
      </c>
      <c r="I24" s="2087">
        <v>1.07</v>
      </c>
      <c r="J24" s="2088">
        <f>ROUNDDOWN(G24*I24,2)</f>
        <v>31030</v>
      </c>
      <c r="K24" s="2086">
        <f>ROUNDDOWN(H24*I24,2)</f>
        <v>0</v>
      </c>
    </row>
    <row r="25" spans="1:17">
      <c r="A25" s="2079"/>
      <c r="B25" s="2084">
        <v>2.6</v>
      </c>
      <c r="C25" s="2080" t="s">
        <v>1993</v>
      </c>
      <c r="D25" s="2081"/>
      <c r="E25" s="2097"/>
      <c r="F25" s="2082"/>
      <c r="G25" s="2082"/>
      <c r="H25" s="2090">
        <f t="shared" si="0"/>
        <v>0</v>
      </c>
      <c r="I25" s="2083"/>
      <c r="J25" s="2083"/>
      <c r="K25" s="2086">
        <f t="shared" si="1"/>
        <v>0</v>
      </c>
    </row>
    <row r="26" spans="1:17">
      <c r="A26" s="2079"/>
      <c r="B26" s="2080"/>
      <c r="C26" s="2100" t="s">
        <v>1994</v>
      </c>
      <c r="D26" s="2081"/>
      <c r="E26" s="2097" t="s">
        <v>1987</v>
      </c>
      <c r="F26" s="2082"/>
      <c r="G26" s="2082"/>
      <c r="H26" s="2090">
        <f t="shared" si="0"/>
        <v>0</v>
      </c>
      <c r="I26" s="2087">
        <v>1.07</v>
      </c>
      <c r="J26" s="2088">
        <f>ROUNDDOWN(G26*I26,2)</f>
        <v>0</v>
      </c>
      <c r="K26" s="2086">
        <f t="shared" si="1"/>
        <v>0</v>
      </c>
    </row>
    <row r="27" spans="1:17">
      <c r="A27" s="2079"/>
      <c r="B27" s="2084">
        <v>2.7</v>
      </c>
      <c r="C27" s="2093" t="s">
        <v>1995</v>
      </c>
      <c r="D27" s="2081"/>
      <c r="E27" s="2097"/>
      <c r="F27" s="2082"/>
      <c r="G27" s="2082"/>
      <c r="H27" s="2090">
        <f t="shared" si="0"/>
        <v>0</v>
      </c>
      <c r="I27" s="2083"/>
      <c r="J27" s="2083"/>
      <c r="K27" s="2086">
        <f t="shared" si="1"/>
        <v>0</v>
      </c>
    </row>
    <row r="28" spans="1:17">
      <c r="A28" s="2094"/>
      <c r="B28" s="2101"/>
      <c r="C28" s="2095" t="s">
        <v>1996</v>
      </c>
      <c r="D28" s="2095"/>
      <c r="E28" s="2102" t="s">
        <v>1987</v>
      </c>
      <c r="F28" s="2086">
        <v>0</v>
      </c>
      <c r="G28" s="2086">
        <v>20000</v>
      </c>
      <c r="H28" s="2090">
        <f t="shared" si="0"/>
        <v>0</v>
      </c>
      <c r="I28" s="2087">
        <v>1.07</v>
      </c>
      <c r="J28" s="2088">
        <f>ROUNDDOWN(G28*I28,2)</f>
        <v>21400</v>
      </c>
      <c r="K28" s="2086">
        <f t="shared" si="1"/>
        <v>0</v>
      </c>
    </row>
    <row r="29" spans="1:17">
      <c r="A29" s="2094"/>
      <c r="B29" s="2101"/>
      <c r="C29" s="2095"/>
      <c r="D29" s="2095"/>
      <c r="E29" s="2102"/>
      <c r="F29" s="2082"/>
      <c r="G29" s="2082"/>
      <c r="H29" s="2082"/>
      <c r="I29" s="2083"/>
      <c r="J29" s="2083"/>
      <c r="K29" s="2083"/>
    </row>
    <row r="30" spans="1:17" ht="39.75" hidden="1" customHeight="1">
      <c r="A30" s="2103"/>
      <c r="B30" s="2104"/>
      <c r="C30" s="2104"/>
      <c r="D30" s="2104"/>
      <c r="E30" s="2103"/>
      <c r="F30" s="2105"/>
      <c r="G30" s="2105"/>
      <c r="H30" s="2105"/>
      <c r="I30" s="2104"/>
      <c r="J30" s="2104"/>
      <c r="K30" s="2104"/>
    </row>
    <row r="31" spans="1:17">
      <c r="A31" s="2106"/>
      <c r="B31" s="2107"/>
      <c r="C31" s="2108" t="s">
        <v>1997</v>
      </c>
      <c r="D31" s="2109"/>
      <c r="E31" s="2106"/>
      <c r="F31" s="2110"/>
      <c r="G31" s="2110"/>
      <c r="H31" s="2111">
        <f>SUM(H12:H28)</f>
        <v>30000</v>
      </c>
      <c r="I31" s="2078"/>
      <c r="J31" s="2078"/>
      <c r="K31" s="2078"/>
    </row>
    <row r="32" spans="1:17">
      <c r="A32" s="2094"/>
      <c r="B32" s="2101"/>
      <c r="C32" s="2112" t="s">
        <v>1998</v>
      </c>
      <c r="D32" s="2096"/>
      <c r="E32" s="2094"/>
      <c r="F32" s="2082"/>
      <c r="G32" s="2082"/>
      <c r="H32" s="2113"/>
      <c r="I32" s="2087">
        <v>1.07</v>
      </c>
      <c r="J32" s="2083"/>
      <c r="K32" s="2083"/>
    </row>
    <row r="33" spans="1:12">
      <c r="A33" s="2094"/>
      <c r="B33" s="2101"/>
      <c r="C33" s="2114" t="s">
        <v>1999</v>
      </c>
      <c r="D33" s="2096"/>
      <c r="E33" s="2094"/>
      <c r="F33" s="2082"/>
      <c r="G33" s="2082"/>
      <c r="H33" s="2113"/>
      <c r="I33" s="2083"/>
      <c r="J33" s="2083"/>
      <c r="K33" s="2115">
        <f>ROUNDDOWN(H31*I32,2)</f>
        <v>32100</v>
      </c>
      <c r="L33" s="2098"/>
    </row>
    <row r="34" spans="1:12">
      <c r="A34" s="2116"/>
      <c r="B34" s="2117"/>
      <c r="C34" s="2118"/>
      <c r="D34" s="2119"/>
      <c r="E34" s="2116"/>
      <c r="F34" s="2120"/>
      <c r="G34" s="2121"/>
      <c r="H34" s="2122"/>
      <c r="I34" s="2123"/>
      <c r="J34" s="2123"/>
      <c r="K34" s="2123"/>
    </row>
    <row r="35" spans="1:12">
      <c r="A35" s="2124"/>
      <c r="B35" s="2095"/>
      <c r="C35" s="2095"/>
      <c r="D35" s="2095"/>
      <c r="E35" s="2124"/>
      <c r="F35" s="2061"/>
      <c r="G35" s="2125"/>
      <c r="H35" s="2126"/>
    </row>
    <row r="36" spans="1:12">
      <c r="A36" s="2124" t="s">
        <v>19</v>
      </c>
      <c r="B36" s="2095"/>
      <c r="C36" s="2095" t="s">
        <v>2000</v>
      </c>
      <c r="D36" s="2095"/>
      <c r="E36" s="2124"/>
      <c r="F36" s="2061"/>
      <c r="G36" s="2125"/>
      <c r="H36" s="2126"/>
    </row>
    <row r="37" spans="1:12">
      <c r="A37" s="2124"/>
      <c r="B37" s="2095"/>
      <c r="C37" s="2095" t="s">
        <v>2001</v>
      </c>
      <c r="D37" s="2095"/>
      <c r="E37" s="2124"/>
      <c r="F37" s="2061"/>
      <c r="G37" s="2125"/>
      <c r="H37" s="2126"/>
    </row>
    <row r="38" spans="1:12">
      <c r="A38" s="2124"/>
      <c r="B38" s="2095"/>
      <c r="C38" s="2095" t="s">
        <v>2002</v>
      </c>
      <c r="D38" s="2095"/>
      <c r="E38" s="2124"/>
      <c r="F38" s="2061"/>
      <c r="G38" s="2125"/>
      <c r="H38" s="2126"/>
    </row>
    <row r="39" spans="1:12">
      <c r="A39" s="2124"/>
      <c r="B39" s="2095"/>
      <c r="C39" s="2095"/>
      <c r="D39" s="2095"/>
      <c r="E39" s="2124"/>
      <c r="F39" s="2061"/>
      <c r="G39" s="2125"/>
      <c r="H39" s="2126"/>
    </row>
    <row r="40" spans="1:12">
      <c r="A40" s="2124"/>
      <c r="B40" s="2095"/>
      <c r="C40" s="2095"/>
      <c r="D40" s="2095"/>
      <c r="E40" s="2124"/>
      <c r="F40" s="2061"/>
      <c r="G40" s="2125"/>
      <c r="H40" s="2126"/>
    </row>
    <row r="41" spans="1:12" s="2127" customFormat="1">
      <c r="A41" s="2060"/>
      <c r="B41" s="2060"/>
      <c r="C41" s="2060"/>
      <c r="D41" s="2060"/>
      <c r="E41" s="2060"/>
      <c r="F41" s="2060"/>
      <c r="G41" s="2060"/>
      <c r="H41" s="2060"/>
      <c r="I41" s="2060"/>
      <c r="J41" s="2060"/>
      <c r="K41" s="2060"/>
    </row>
    <row r="42" spans="1:12" s="2127" customFormat="1">
      <c r="A42" s="2060"/>
      <c r="B42" s="2128"/>
      <c r="C42" s="2128"/>
      <c r="D42" s="2128"/>
      <c r="E42" s="2060"/>
      <c r="F42" s="2129"/>
      <c r="G42" s="2060"/>
      <c r="H42" s="2060"/>
      <c r="I42" s="2060"/>
      <c r="J42" s="2060"/>
      <c r="K42" s="2060"/>
    </row>
    <row r="43" spans="1:12" s="2127" customFormat="1">
      <c r="A43" s="2060"/>
      <c r="B43" s="2130"/>
      <c r="C43" s="2128"/>
      <c r="D43" s="2128"/>
      <c r="E43" s="2129"/>
      <c r="F43" s="2129"/>
      <c r="G43" s="2060"/>
      <c r="H43" s="2060"/>
      <c r="I43" s="2060"/>
      <c r="J43" s="2060"/>
      <c r="K43" s="2060"/>
    </row>
    <row r="47" spans="1:12">
      <c r="B47" s="2130"/>
      <c r="E47" s="2129"/>
    </row>
  </sheetData>
  <mergeCells count="8">
    <mergeCell ref="A1:K1"/>
    <mergeCell ref="A8:A9"/>
    <mergeCell ref="B8:D9"/>
    <mergeCell ref="E8:E9"/>
    <mergeCell ref="F8:F9"/>
    <mergeCell ref="G8:H8"/>
    <mergeCell ref="I8:I9"/>
    <mergeCell ref="J8:K8"/>
  </mergeCells>
  <printOptions horizontalCentered="1"/>
  <pageMargins left="0.35433070866141736" right="0.35433070866141736" top="0.39370078740157483" bottom="0.39370078740157483" header="0.47244094488188981" footer="0.35433070866141736"/>
  <pageSetup paperSize="9" scale="7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0000CC"/>
  </sheetPr>
  <dimension ref="A1:W289"/>
  <sheetViews>
    <sheetView view="pageBreakPreview" topLeftCell="C10" zoomScaleSheetLayoutView="100" workbookViewId="0">
      <selection activeCell="G24" sqref="G24"/>
    </sheetView>
  </sheetViews>
  <sheetFormatPr defaultColWidth="9.140625" defaultRowHeight="21.75"/>
  <cols>
    <col min="1" max="1" width="7.28515625" style="268" customWidth="1"/>
    <col min="2" max="2" width="39.28515625" style="268" customWidth="1"/>
    <col min="3" max="3" width="9" style="268" bestFit="1" customWidth="1"/>
    <col min="4" max="4" width="6.28515625" style="268" bestFit="1" customWidth="1"/>
    <col min="5" max="5" width="10.85546875" style="268" customWidth="1"/>
    <col min="6" max="6" width="10.7109375" style="268" customWidth="1"/>
    <col min="7" max="7" width="9.85546875" style="268" customWidth="1"/>
    <col min="8" max="8" width="12.85546875" style="268" customWidth="1"/>
    <col min="9" max="9" width="2.7109375" style="283" customWidth="1"/>
    <col min="10" max="10" width="7" style="283" customWidth="1"/>
    <col min="11" max="11" width="5.7109375" style="283" customWidth="1"/>
    <col min="12" max="12" width="6.42578125" style="283" customWidth="1"/>
    <col min="13" max="13" width="6" style="283" customWidth="1"/>
    <col min="14" max="14" width="6.85546875" style="283" customWidth="1"/>
    <col min="15" max="15" width="6.7109375" style="283" customWidth="1"/>
    <col min="16" max="16" width="12.140625" style="283" customWidth="1"/>
    <col min="17" max="17" width="7.85546875" style="283" customWidth="1"/>
    <col min="18" max="18" width="9" style="283" customWidth="1"/>
    <col min="19" max="19" width="5.7109375" style="283" customWidth="1"/>
    <col min="20" max="20" width="4" style="283" customWidth="1"/>
    <col min="21" max="21" width="8.85546875" style="283" customWidth="1"/>
    <col min="22" max="22" width="13" style="283" bestFit="1" customWidth="1"/>
    <col min="23" max="23" width="3.28515625" style="283" customWidth="1"/>
    <col min="24" max="16384" width="9.140625" style="268"/>
  </cols>
  <sheetData>
    <row r="1" spans="1:23" s="429" customFormat="1" ht="24">
      <c r="A1" s="2705" t="s">
        <v>1937</v>
      </c>
      <c r="B1" s="2705"/>
      <c r="C1" s="2705"/>
      <c r="D1" s="2705"/>
      <c r="E1" s="2705"/>
      <c r="F1" s="2705"/>
      <c r="G1" s="2705"/>
      <c r="H1" s="2705"/>
      <c r="I1"/>
      <c r="J1" s="1415"/>
      <c r="K1" s="1415"/>
      <c r="L1" s="283"/>
      <c r="M1" s="283"/>
      <c r="N1" s="283"/>
      <c r="O1" s="283"/>
      <c r="P1" s="1416" t="s">
        <v>128</v>
      </c>
      <c r="Q1" s="283"/>
      <c r="R1" s="437"/>
      <c r="S1" s="283"/>
      <c r="T1" s="283"/>
      <c r="U1" s="283"/>
      <c r="V1" s="283"/>
    </row>
    <row r="2" spans="1:23" s="429" customFormat="1" ht="24">
      <c r="A2" s="1568" t="s">
        <v>1800</v>
      </c>
      <c r="B2" s="1568"/>
      <c r="C2" s="1568"/>
      <c r="D2" s="1568"/>
      <c r="E2" s="1568"/>
      <c r="F2" s="1568" t="s">
        <v>1801</v>
      </c>
      <c r="G2" s="2309" t="s">
        <v>1820</v>
      </c>
      <c r="H2" s="1568"/>
      <c r="I2"/>
      <c r="J2" s="1415"/>
      <c r="K2" s="1415"/>
      <c r="L2" s="283"/>
      <c r="M2" s="283"/>
      <c r="N2" s="283"/>
      <c r="O2" s="283"/>
      <c r="P2" s="1416"/>
      <c r="Q2" s="283"/>
      <c r="R2" s="2209"/>
      <c r="S2" s="283"/>
      <c r="T2" s="283"/>
      <c r="U2" s="283"/>
      <c r="V2" s="283"/>
    </row>
    <row r="3" spans="1:23" s="429" customFormat="1">
      <c r="A3" s="607" t="s">
        <v>581</v>
      </c>
      <c r="B3" s="607" t="str">
        <f>+'4.ต้นทุนระบายน้ำ'!C8&amp;" "&amp;'4.ต้นทุนระบายน้ำ'!F8&amp;"  "&amp;'4.ต้นทุนระบายน้ำ'!C9</f>
        <v>ปน.4031 แยกทางหลวงหมายเลข 4157-บ้านปาตา  อำเภอ  ปะนาเระ,ยะหริ่ง จังหวัด ปัตตานี</v>
      </c>
      <c r="C3" s="607"/>
      <c r="D3" s="607"/>
      <c r="E3" s="607"/>
      <c r="F3" s="607" t="s">
        <v>293</v>
      </c>
      <c r="G3" s="2310">
        <v>160</v>
      </c>
      <c r="H3" s="1567" t="s">
        <v>182</v>
      </c>
      <c r="J3" s="1415"/>
      <c r="K3" s="1415"/>
      <c r="L3" s="283"/>
      <c r="M3" s="283"/>
      <c r="N3" s="283"/>
      <c r="O3" s="283"/>
      <c r="P3" s="1416"/>
      <c r="Q3" s="283"/>
      <c r="R3" s="2209"/>
      <c r="S3" s="283"/>
      <c r="T3" s="283"/>
      <c r="U3" s="283"/>
      <c r="V3" s="283"/>
    </row>
    <row r="4" spans="1:23" s="429" customFormat="1" ht="21.75" customHeight="1">
      <c r="A4" s="2703" t="s">
        <v>603</v>
      </c>
      <c r="B4" s="2703" t="s">
        <v>1</v>
      </c>
      <c r="C4" s="2701" t="s">
        <v>22</v>
      </c>
      <c r="D4" s="2703" t="s">
        <v>23</v>
      </c>
      <c r="E4" s="2698" t="s">
        <v>1798</v>
      </c>
      <c r="F4" s="2699"/>
      <c r="G4" s="2700"/>
      <c r="H4" s="2694" t="s">
        <v>1639</v>
      </c>
      <c r="J4" s="432" t="str">
        <f>+แหล่งวัสดุ!B71</f>
        <v>สำนักดัชนีการค้า สตูล(กันยายน 58)</v>
      </c>
      <c r="K4" s="1419"/>
      <c r="L4" s="1420"/>
      <c r="M4" s="434"/>
      <c r="N4" s="283" t="str">
        <f>+แหล่งวัสดุ!E71</f>
        <v>หินใหญ่ ขนาด 7 ซม. - 25 ซม.</v>
      </c>
      <c r="O4" s="283"/>
      <c r="P4" s="1421">
        <f>+แหล่งวัสดุ!F71</f>
        <v>476.64</v>
      </c>
      <c r="Q4" s="436" t="s">
        <v>3</v>
      </c>
      <c r="R4" s="283" t="s">
        <v>6</v>
      </c>
      <c r="S4" s="432">
        <f>+แหล่งวัสดุ!H71</f>
        <v>150</v>
      </c>
      <c r="T4" s="437" t="s">
        <v>5</v>
      </c>
      <c r="U4" s="443">
        <f>IF(แหล่งวัสดุ!L$32=1,IF(S4&lt;=200,VLOOKUP(S4,'S2'!B$5:'S2'!F$204,3),IF(S4&gt;200,(S4-200)*'S2'!D$205+'S2'!D$204)),IF(แหล่งวัสดุ!L$32=2,IF(S4&lt;=200,VLOOKUP(S4,'S2'!B$5:'S2'!F$204,5),IF(S4&gt;200,(S4-200)*'S2'!F$205+'S2'!F$204))))</f>
        <v>472.35</v>
      </c>
      <c r="V4" s="283" t="s">
        <v>18</v>
      </c>
    </row>
    <row r="5" spans="1:23" s="429" customFormat="1">
      <c r="A5" s="2704"/>
      <c r="B5" s="2704"/>
      <c r="C5" s="2702"/>
      <c r="D5" s="2704"/>
      <c r="E5" s="2307" t="s">
        <v>705</v>
      </c>
      <c r="F5" s="2308" t="s">
        <v>27</v>
      </c>
      <c r="G5" s="2307" t="s">
        <v>28</v>
      </c>
      <c r="H5" s="2695"/>
      <c r="J5" s="391" t="s">
        <v>1792</v>
      </c>
      <c r="K5"/>
      <c r="L5"/>
      <c r="M5"/>
      <c r="N5"/>
      <c r="O5"/>
      <c r="P5"/>
      <c r="Q5"/>
      <c r="R5"/>
      <c r="S5"/>
      <c r="T5"/>
      <c r="U5"/>
      <c r="V5"/>
      <c r="W5" s="270"/>
    </row>
    <row r="6" spans="1:23" s="429" customFormat="1">
      <c r="A6" s="2706">
        <v>1</v>
      </c>
      <c r="B6" s="2708" t="str">
        <f>+แหล่งวัสดุ!$B$65</f>
        <v>กล่อง Gabion Box  ชนิดเคลือบสังกะสี ขนาด 1.50 x 1.00 x 1.00 ม.</v>
      </c>
      <c r="C6" s="2710">
        <v>1</v>
      </c>
      <c r="D6" s="2692" t="s">
        <v>707</v>
      </c>
      <c r="E6" s="2692">
        <f>+IF(C6&gt;0,แหล่งวัสดุ!$F$65,)</f>
        <v>1408</v>
      </c>
      <c r="F6" s="2692">
        <f>+IF(C6&gt;0,$U$11,)</f>
        <v>60</v>
      </c>
      <c r="G6" s="2692">
        <f>SUM(E6:F7)</f>
        <v>1468</v>
      </c>
      <c r="H6" s="2692">
        <f>G6*C6</f>
        <v>1468</v>
      </c>
      <c r="J6" s="352" t="s">
        <v>190</v>
      </c>
      <c r="K6" s="352"/>
      <c r="L6" s="352"/>
      <c r="M6" s="352"/>
      <c r="N6" s="352"/>
      <c r="O6" s="352"/>
      <c r="P6" s="352"/>
      <c r="Q6" s="205"/>
      <c r="R6" s="352"/>
      <c r="S6" s="352"/>
      <c r="T6" s="377" t="s">
        <v>14</v>
      </c>
      <c r="U6" s="398">
        <f>+P4</f>
        <v>476.64</v>
      </c>
      <c r="V6" s="352" t="s">
        <v>49</v>
      </c>
      <c r="W6" s="283"/>
    </row>
    <row r="7" spans="1:23" s="429" customFormat="1">
      <c r="A7" s="2707"/>
      <c r="B7" s="2709"/>
      <c r="C7" s="2711"/>
      <c r="D7" s="2693"/>
      <c r="E7" s="2693"/>
      <c r="F7" s="2693"/>
      <c r="G7" s="2693"/>
      <c r="H7" s="2693"/>
      <c r="J7" s="352" t="s">
        <v>117</v>
      </c>
      <c r="K7" s="352"/>
      <c r="L7" s="352"/>
      <c r="M7" s="352"/>
      <c r="N7" s="352"/>
      <c r="O7" s="352"/>
      <c r="P7" s="352"/>
      <c r="Q7" s="205"/>
      <c r="R7" s="352"/>
      <c r="S7" s="352"/>
      <c r="T7" s="377" t="s">
        <v>14</v>
      </c>
      <c r="U7" s="398">
        <f>+U4</f>
        <v>472.35</v>
      </c>
      <c r="V7" s="352" t="s">
        <v>49</v>
      </c>
      <c r="W7" s="283"/>
    </row>
    <row r="8" spans="1:23" s="429" customFormat="1" ht="18.75" customHeight="1">
      <c r="A8" s="2706">
        <f>+A6+1</f>
        <v>2</v>
      </c>
      <c r="B8" s="2708" t="str">
        <f>+แหล่งวัสดุ!$B$66</f>
        <v>กล่อง Gabion Box  ชนิดเคลือบสังกะสี ขนาด 2.00 x 1.00 x 1.00 ม.</v>
      </c>
      <c r="C8" s="2710">
        <v>1</v>
      </c>
      <c r="D8" s="2692" t="s">
        <v>707</v>
      </c>
      <c r="E8" s="2692">
        <f>+IF(C8&gt;0,แหล่งวัสดุ!$F$66,)</f>
        <v>1887</v>
      </c>
      <c r="F8" s="2692">
        <f>+IF(C8&gt;0,$U$11,)</f>
        <v>60</v>
      </c>
      <c r="G8" s="2692">
        <f>SUM(E8:F9)</f>
        <v>1947</v>
      </c>
      <c r="H8" s="2692">
        <f>G8*C8</f>
        <v>1947</v>
      </c>
      <c r="J8" s="352"/>
      <c r="K8" s="352"/>
      <c r="L8" s="395" t="s">
        <v>513</v>
      </c>
      <c r="M8" s="352"/>
      <c r="N8" s="352"/>
      <c r="O8" s="352"/>
      <c r="P8" s="352"/>
      <c r="Q8" s="205"/>
      <c r="R8" s="352"/>
      <c r="S8" s="352"/>
      <c r="T8" s="377" t="s">
        <v>14</v>
      </c>
      <c r="U8" s="396">
        <f>ROUND(SUM(U6:U7),2)</f>
        <v>948.99</v>
      </c>
      <c r="V8" s="352" t="s">
        <v>49</v>
      </c>
      <c r="W8" s="283"/>
    </row>
    <row r="9" spans="1:23" s="429" customFormat="1">
      <c r="A9" s="2707"/>
      <c r="B9" s="2709"/>
      <c r="C9" s="2711"/>
      <c r="D9" s="2693"/>
      <c r="E9" s="2693"/>
      <c r="F9" s="2693"/>
      <c r="G9" s="2693"/>
      <c r="H9" s="2693"/>
      <c r="I9" s="283"/>
      <c r="P9" s="395" t="s">
        <v>189</v>
      </c>
      <c r="Q9" s="397">
        <v>1.1499999999999999</v>
      </c>
      <c r="R9" s="352"/>
      <c r="S9" s="352"/>
      <c r="T9" s="377" t="s">
        <v>14</v>
      </c>
      <c r="U9" s="398">
        <f>ROUND(Q9*U8,2)</f>
        <v>1091.3399999999999</v>
      </c>
      <c r="V9" s="352" t="s">
        <v>54</v>
      </c>
      <c r="W9" s="283"/>
    </row>
    <row r="10" spans="1:23" s="429" customFormat="1">
      <c r="A10" s="2706">
        <f>+A8+1</f>
        <v>3</v>
      </c>
      <c r="B10" s="2708" t="str">
        <f>+แหล่งวัสดุ!$B$67</f>
        <v>กล่อง Mattress  ชนิดเคลือบสังกะสี ขนาด 4.00 x 2.00 x 0.30 ม.</v>
      </c>
      <c r="C10" s="2710">
        <v>1</v>
      </c>
      <c r="D10" s="2692" t="s">
        <v>707</v>
      </c>
      <c r="E10" s="2692">
        <f>+IF(C10&gt;0,แหล่งวัสดุ!$F$67,)</f>
        <v>3322</v>
      </c>
      <c r="F10" s="2692">
        <f>+IF(C10&gt;0,$U$11,)</f>
        <v>60</v>
      </c>
      <c r="G10" s="2692">
        <f>SUM(E10:F11)</f>
        <v>3382</v>
      </c>
      <c r="H10" s="2692">
        <f>G10*C10</f>
        <v>3382</v>
      </c>
      <c r="I10" s="283"/>
      <c r="L10" s="399" t="s">
        <v>512</v>
      </c>
      <c r="M10" s="352"/>
      <c r="N10" s="352"/>
      <c r="O10" s="352"/>
      <c r="P10" s="352"/>
      <c r="Q10" s="205"/>
      <c r="R10" s="352"/>
      <c r="S10" s="352"/>
      <c r="T10" s="377" t="s">
        <v>14</v>
      </c>
      <c r="U10" s="400">
        <f>+U9</f>
        <v>1091.3399999999999</v>
      </c>
      <c r="V10" s="352" t="s">
        <v>54</v>
      </c>
      <c r="W10" s="283"/>
    </row>
    <row r="11" spans="1:23" s="429" customFormat="1">
      <c r="A11" s="2707"/>
      <c r="B11" s="2709"/>
      <c r="C11" s="2711"/>
      <c r="D11" s="2693"/>
      <c r="E11" s="2693"/>
      <c r="F11" s="2693"/>
      <c r="G11" s="2693"/>
      <c r="H11" s="2693"/>
      <c r="I11" s="283"/>
      <c r="J11" s="395" t="s">
        <v>1793</v>
      </c>
      <c r="K11" s="395"/>
      <c r="L11" s="395" t="s">
        <v>1794</v>
      </c>
      <c r="M11" s="352"/>
      <c r="N11" s="352"/>
      <c r="O11" s="352">
        <v>300</v>
      </c>
      <c r="P11" s="352" t="s">
        <v>1795</v>
      </c>
      <c r="Q11" s="462"/>
      <c r="R11" s="462"/>
      <c r="S11" s="462"/>
      <c r="T11" s="377" t="s">
        <v>14</v>
      </c>
      <c r="U11" s="1563">
        <f>+O11/5</f>
        <v>60</v>
      </c>
      <c r="V11" s="352" t="s">
        <v>1796</v>
      </c>
      <c r="W11" s="283"/>
    </row>
    <row r="12" spans="1:23" s="429" customFormat="1" ht="21" customHeight="1">
      <c r="A12" s="2706">
        <f>+A10+1</f>
        <v>4</v>
      </c>
      <c r="B12" s="2708" t="str">
        <f>+แหล่งวัสดุ!$B$68</f>
        <v>กล่อง Mattress  ชนิดเคลือบสังกะสี ขนาด 3.00 x 2.00 x 0.30 ม.</v>
      </c>
      <c r="C12" s="2710">
        <v>1</v>
      </c>
      <c r="D12" s="2696" t="s">
        <v>707</v>
      </c>
      <c r="E12" s="2692">
        <f>+IF(C12&gt;0,แหล่งวัสดุ!$F$68,)</f>
        <v>2530</v>
      </c>
      <c r="F12" s="2692">
        <f>+IF(C12&gt;0,$U$11,)</f>
        <v>60</v>
      </c>
      <c r="G12" s="2692">
        <f>SUM(E12:F13)</f>
        <v>2590</v>
      </c>
      <c r="H12" s="2692">
        <f>G12*C12</f>
        <v>2590</v>
      </c>
      <c r="I12" s="283"/>
      <c r="J12" s="395" t="s">
        <v>1797</v>
      </c>
      <c r="K12" s="430"/>
      <c r="L12" s="430"/>
      <c r="M12" s="430"/>
      <c r="N12" s="430"/>
      <c r="O12" s="430"/>
      <c r="P12" s="430"/>
      <c r="Q12" s="205"/>
      <c r="R12" s="1564"/>
      <c r="S12" s="1564"/>
      <c r="T12" s="377" t="s">
        <v>14</v>
      </c>
      <c r="U12" s="1564">
        <v>224.38</v>
      </c>
      <c r="V12" s="352" t="s">
        <v>18</v>
      </c>
      <c r="W12" s="617"/>
    </row>
    <row r="13" spans="1:23" s="429" customFormat="1">
      <c r="A13" s="2707"/>
      <c r="B13" s="2709"/>
      <c r="C13" s="2711"/>
      <c r="D13" s="2697"/>
      <c r="E13" s="2693"/>
      <c r="F13" s="2693"/>
      <c r="G13" s="2693"/>
      <c r="H13" s="2693"/>
      <c r="I13"/>
    </row>
    <row r="14" spans="1:23" s="429" customFormat="1" ht="21.75" customHeight="1">
      <c r="A14" s="2706">
        <f>+A12+1</f>
        <v>5</v>
      </c>
      <c r="B14" s="2708" t="str">
        <f>+แหล่งวัสดุ!$B$69</f>
        <v>กล่อง Mattress  ชนิดเคลือบสังกะสี ขนาด 6.00 x 2.00 x 0.30 ม.</v>
      </c>
      <c r="C14" s="2710">
        <v>1</v>
      </c>
      <c r="D14" s="2696" t="s">
        <v>707</v>
      </c>
      <c r="E14" s="2692">
        <f>+IF(C14&gt;0,แหล่งวัสดุ!$F$69,)</f>
        <v>4835</v>
      </c>
      <c r="F14" s="2692">
        <f>+IF(C14&gt;0,$U$11,)</f>
        <v>60</v>
      </c>
      <c r="G14" s="2692">
        <f>SUM(E14:F15)</f>
        <v>4895</v>
      </c>
      <c r="H14" s="2692">
        <f>G14*C14</f>
        <v>4895</v>
      </c>
      <c r="I14"/>
    </row>
    <row r="15" spans="1:23" s="429" customFormat="1">
      <c r="A15" s="2707"/>
      <c r="B15" s="2709"/>
      <c r="C15" s="2711"/>
      <c r="D15" s="2697"/>
      <c r="E15" s="2693"/>
      <c r="F15" s="2693"/>
      <c r="G15" s="2693"/>
      <c r="H15" s="2693"/>
    </row>
    <row r="16" spans="1:23" s="429" customFormat="1">
      <c r="A16" s="1565">
        <f>+A14+1</f>
        <v>6</v>
      </c>
      <c r="B16" s="609" t="str">
        <f>+แหล่งวัสดุ!$B$70</f>
        <v>แผ่นใยสังเคราะห์ชนิดที่ 2</v>
      </c>
      <c r="C16" s="2304">
        <v>1</v>
      </c>
      <c r="D16" s="610" t="s">
        <v>31</v>
      </c>
      <c r="E16" s="610">
        <f>+IF(C16&gt;0,แหล่งวัสดุ!$F$70,)</f>
        <v>65</v>
      </c>
      <c r="F16" s="611">
        <f>+IF(C16&gt;0,15,)</f>
        <v>15</v>
      </c>
      <c r="G16" s="613">
        <f>SUM(E16:F16)</f>
        <v>80</v>
      </c>
      <c r="H16" s="1570">
        <f>C16*G16</f>
        <v>80</v>
      </c>
    </row>
    <row r="17" spans="1:23" s="429" customFormat="1">
      <c r="A17" s="1566">
        <f>+A16+1</f>
        <v>7</v>
      </c>
      <c r="B17" s="612" t="s">
        <v>709</v>
      </c>
      <c r="C17" s="2305">
        <v>1</v>
      </c>
      <c r="D17" s="613" t="s">
        <v>32</v>
      </c>
      <c r="E17" s="1571">
        <f>+IF(C17&gt;0,$U$10,)</f>
        <v>1091.3399999999999</v>
      </c>
      <c r="F17" s="613">
        <f>+IF(C17&gt;0,$U$12,)</f>
        <v>224.38</v>
      </c>
      <c r="G17" s="610">
        <f>SUM(E17:F17)</f>
        <v>1315.7199999999998</v>
      </c>
      <c r="H17" s="1571">
        <f>C17*G17</f>
        <v>1315.7199999999998</v>
      </c>
      <c r="I17"/>
    </row>
    <row r="18" spans="1:23" s="429" customFormat="1">
      <c r="A18" s="2698" t="s">
        <v>1799</v>
      </c>
      <c r="B18" s="2699"/>
      <c r="C18" s="2699"/>
      <c r="D18" s="2699"/>
      <c r="E18" s="2699"/>
      <c r="F18" s="2699"/>
      <c r="G18" s="2700"/>
      <c r="H18" s="2306">
        <f>SUM(H6:H17)</f>
        <v>15677.72</v>
      </c>
      <c r="I18"/>
    </row>
    <row r="19" spans="1:23" s="429" customFormat="1">
      <c r="A19" s="615"/>
      <c r="B19" s="616"/>
      <c r="C19" s="614"/>
      <c r="D19" s="611"/>
      <c r="E19" s="611"/>
      <c r="F19" s="611"/>
      <c r="G19" s="611"/>
      <c r="H19" s="611"/>
    </row>
    <row r="20" spans="1:23" s="617" customFormat="1">
      <c r="A20" s="213" t="s">
        <v>215</v>
      </c>
      <c r="B20" s="213"/>
      <c r="C20" s="213" t="s">
        <v>710</v>
      </c>
      <c r="D20" s="213"/>
      <c r="E20" s="213"/>
      <c r="H20" s="213"/>
      <c r="I20" s="429"/>
    </row>
    <row r="21" spans="1:23" s="617" customFormat="1">
      <c r="B21" s="618" t="str">
        <f>ปร.4_Roads!D173</f>
        <v>( นายวัลลภ  มูสิกะเจริญ ) นายช่างโยธาชำนาญงาน</v>
      </c>
      <c r="C21" s="619"/>
      <c r="E21" s="618" t="str">
        <f>ปร.4_Roads!H173</f>
        <v>( นางสาวปิญาภา  ศรีมณี ) วิศวกรโยธาชำนาญการ</v>
      </c>
      <c r="F21" s="213"/>
      <c r="H21" s="620"/>
      <c r="I21" s="429"/>
    </row>
    <row r="22" spans="1:23" s="429" customFormat="1" ht="24">
      <c r="A22" s="2705" t="s">
        <v>704</v>
      </c>
      <c r="B22" s="2705"/>
      <c r="C22" s="2705"/>
      <c r="D22" s="2705"/>
      <c r="E22" s="2705"/>
      <c r="F22" s="2705"/>
      <c r="G22" s="2705"/>
      <c r="H22" s="2705"/>
    </row>
    <row r="23" spans="1:23" s="429" customFormat="1" ht="24">
      <c r="A23" s="1568" t="s">
        <v>1800</v>
      </c>
      <c r="B23" s="1568"/>
      <c r="C23" s="1568"/>
      <c r="D23" s="1568"/>
      <c r="E23" s="1568"/>
      <c r="F23" s="1568" t="s">
        <v>1801</v>
      </c>
      <c r="G23" s="2309">
        <v>600</v>
      </c>
      <c r="H23" s="1568"/>
      <c r="I23"/>
      <c r="W23" s="283"/>
    </row>
    <row r="24" spans="1:23" s="429" customFormat="1">
      <c r="A24" s="607" t="str">
        <f>A3</f>
        <v>สายทาง</v>
      </c>
      <c r="B24" s="607" t="str">
        <f>B3</f>
        <v>ปน.4031 แยกทางหลวงหมายเลข 4157-บ้านปาตา  อำเภอ  ปะนาเระ,ยะหริ่ง จังหวัด ปัตตานี</v>
      </c>
      <c r="C24" s="607"/>
      <c r="D24" s="607"/>
      <c r="E24" s="607"/>
      <c r="F24" s="607" t="s">
        <v>293</v>
      </c>
      <c r="G24" s="2310">
        <v>75</v>
      </c>
      <c r="H24" s="1567" t="s">
        <v>182</v>
      </c>
      <c r="I24"/>
      <c r="W24" s="283"/>
    </row>
    <row r="25" spans="1:23" s="429" customFormat="1">
      <c r="A25" s="2703" t="s">
        <v>603</v>
      </c>
      <c r="B25" s="2703" t="s">
        <v>1</v>
      </c>
      <c r="C25" s="2701" t="s">
        <v>22</v>
      </c>
      <c r="D25" s="2703" t="s">
        <v>23</v>
      </c>
      <c r="E25" s="2698" t="s">
        <v>1798</v>
      </c>
      <c r="F25" s="2699"/>
      <c r="G25" s="2700"/>
      <c r="H25" s="2694" t="s">
        <v>1639</v>
      </c>
      <c r="I25"/>
      <c r="W25" s="283"/>
    </row>
    <row r="26" spans="1:23" s="429" customFormat="1">
      <c r="A26" s="2704"/>
      <c r="B26" s="2704"/>
      <c r="C26" s="2702"/>
      <c r="D26" s="2704"/>
      <c r="E26" s="2307" t="s">
        <v>705</v>
      </c>
      <c r="F26" s="2308" t="s">
        <v>27</v>
      </c>
      <c r="G26" s="2307" t="s">
        <v>28</v>
      </c>
      <c r="H26" s="2695"/>
      <c r="I26"/>
      <c r="W26" s="283"/>
    </row>
    <row r="27" spans="1:23" s="429" customFormat="1" ht="21.75" customHeight="1">
      <c r="A27" s="2706">
        <v>1</v>
      </c>
      <c r="B27" s="2708" t="str">
        <f>+แหล่งวัสดุ!$B$65</f>
        <v>กล่อง Gabion Box  ชนิดเคลือบสังกะสี ขนาด 1.50 x 1.00 x 1.00 ม.</v>
      </c>
      <c r="C27" s="2710">
        <v>1</v>
      </c>
      <c r="D27" s="2692" t="s">
        <v>707</v>
      </c>
      <c r="E27" s="2692">
        <f>+IF(C27&gt;0,แหล่งวัสดุ!$F$65,)</f>
        <v>1408</v>
      </c>
      <c r="F27" s="2692">
        <f>+IF(C27&gt;0,$U$11,)</f>
        <v>60</v>
      </c>
      <c r="G27" s="2692">
        <f>SUM(E27:F28)</f>
        <v>1468</v>
      </c>
      <c r="H27" s="2692">
        <f>G27*C27</f>
        <v>1468</v>
      </c>
      <c r="I27" s="617"/>
      <c r="J27" s="617"/>
      <c r="K27" s="617"/>
      <c r="L27" s="617"/>
      <c r="M27" s="617"/>
      <c r="N27" s="617"/>
      <c r="O27" s="617"/>
      <c r="P27" s="617"/>
      <c r="Q27" s="617"/>
      <c r="R27" s="617"/>
      <c r="S27" s="617"/>
      <c r="T27" s="617"/>
      <c r="U27" s="617"/>
      <c r="V27" s="617"/>
      <c r="W27" s="617"/>
    </row>
    <row r="28" spans="1:23" s="429" customFormat="1">
      <c r="A28" s="2707"/>
      <c r="B28" s="2709"/>
      <c r="C28" s="2711"/>
      <c r="D28" s="2693"/>
      <c r="E28" s="2693"/>
      <c r="F28" s="2693"/>
      <c r="G28" s="2693"/>
      <c r="H28" s="2693"/>
      <c r="I28" s="617"/>
      <c r="J28" s="617"/>
      <c r="K28" s="617"/>
      <c r="L28" s="617"/>
      <c r="M28" s="617"/>
      <c r="N28" s="617"/>
      <c r="O28" s="617"/>
      <c r="P28" s="617"/>
      <c r="Q28" s="617"/>
      <c r="R28" s="617"/>
      <c r="S28" s="617"/>
      <c r="T28" s="617"/>
      <c r="U28" s="617"/>
      <c r="V28" s="617"/>
      <c r="W28" s="617"/>
    </row>
    <row r="29" spans="1:23" s="429" customFormat="1" ht="21.75" customHeight="1">
      <c r="A29" s="2706">
        <f>+A27+1</f>
        <v>2</v>
      </c>
      <c r="B29" s="2708" t="str">
        <f>+แหล่งวัสดุ!$B$66</f>
        <v>กล่อง Gabion Box  ชนิดเคลือบสังกะสี ขนาด 2.00 x 1.00 x 1.00 ม.</v>
      </c>
      <c r="C29" s="2710">
        <v>1</v>
      </c>
      <c r="D29" s="2692" t="s">
        <v>707</v>
      </c>
      <c r="E29" s="2692">
        <f>+IF(C29&gt;0,แหล่งวัสดุ!$F$66,)</f>
        <v>1887</v>
      </c>
      <c r="F29" s="2692">
        <f>+IF(C29&gt;0,$U$11,)</f>
        <v>60</v>
      </c>
      <c r="G29" s="2692">
        <f>SUM(E29:F30)</f>
        <v>1947</v>
      </c>
      <c r="H29" s="2692">
        <f>G29*C29</f>
        <v>1947</v>
      </c>
    </row>
    <row r="30" spans="1:23" s="429" customFormat="1">
      <c r="A30" s="2707"/>
      <c r="B30" s="2709"/>
      <c r="C30" s="2711"/>
      <c r="D30" s="2693"/>
      <c r="E30" s="2693"/>
      <c r="F30" s="2693"/>
      <c r="G30" s="2693"/>
      <c r="H30" s="2693"/>
    </row>
    <row r="31" spans="1:23" s="429" customFormat="1" ht="21.75" customHeight="1">
      <c r="A31" s="2706">
        <f>+A29+1</f>
        <v>3</v>
      </c>
      <c r="B31" s="2708" t="str">
        <f>+แหล่งวัสดุ!$B$67</f>
        <v>กล่อง Mattress  ชนิดเคลือบสังกะสี ขนาด 4.00 x 2.00 x 0.30 ม.</v>
      </c>
      <c r="C31" s="2710">
        <v>1</v>
      </c>
      <c r="D31" s="2692" t="s">
        <v>707</v>
      </c>
      <c r="E31" s="2692">
        <f>+IF(C31&gt;0,แหล่งวัสดุ!$F$67,)</f>
        <v>3322</v>
      </c>
      <c r="F31" s="2692">
        <f>+IF(C31&gt;0,$U$11,)</f>
        <v>60</v>
      </c>
      <c r="G31" s="2692">
        <f>SUM(E31:F32)</f>
        <v>3382</v>
      </c>
      <c r="H31" s="2692">
        <f>G31*C31</f>
        <v>3382</v>
      </c>
    </row>
    <row r="32" spans="1:23" s="429" customFormat="1">
      <c r="A32" s="2707"/>
      <c r="B32" s="2709"/>
      <c r="C32" s="2711"/>
      <c r="D32" s="2693"/>
      <c r="E32" s="2693"/>
      <c r="F32" s="2693"/>
      <c r="G32" s="2693"/>
      <c r="H32" s="2693"/>
    </row>
    <row r="33" spans="1:23" s="429" customFormat="1">
      <c r="A33" s="2706">
        <f>+A31+1</f>
        <v>4</v>
      </c>
      <c r="B33" s="2708" t="str">
        <f>+แหล่งวัสดุ!$B$68</f>
        <v>กล่อง Mattress  ชนิดเคลือบสังกะสี ขนาด 3.00 x 2.00 x 0.30 ม.</v>
      </c>
      <c r="C33" s="2710">
        <v>1</v>
      </c>
      <c r="D33" s="2696" t="s">
        <v>707</v>
      </c>
      <c r="E33" s="2692">
        <f>+IF(C33&gt;0,แหล่งวัสดุ!$F$68,)</f>
        <v>2530</v>
      </c>
      <c r="F33" s="2692">
        <f>+IF(C33&gt;0,$U$11,)</f>
        <v>60</v>
      </c>
      <c r="G33" s="2692">
        <f>SUM(E33:F34)</f>
        <v>2590</v>
      </c>
      <c r="H33" s="2692">
        <f>G33*C33</f>
        <v>2590</v>
      </c>
    </row>
    <row r="34" spans="1:23" s="429" customFormat="1">
      <c r="A34" s="2707"/>
      <c r="B34" s="2709"/>
      <c r="C34" s="2711"/>
      <c r="D34" s="2697"/>
      <c r="E34" s="2693"/>
      <c r="F34" s="2693"/>
      <c r="G34" s="2693"/>
      <c r="H34" s="2693"/>
    </row>
    <row r="35" spans="1:23" s="429" customFormat="1" ht="21.75" customHeight="1">
      <c r="A35" s="2706">
        <f>+A33+1</f>
        <v>5</v>
      </c>
      <c r="B35" s="2708" t="str">
        <f>+แหล่งวัสดุ!$B$69</f>
        <v>กล่อง Mattress  ชนิดเคลือบสังกะสี ขนาด 6.00 x 2.00 x 0.30 ม.</v>
      </c>
      <c r="C35" s="2710">
        <v>1</v>
      </c>
      <c r="D35" s="2696" t="s">
        <v>707</v>
      </c>
      <c r="E35" s="2692">
        <f>+IF(C35&gt;0,แหล่งวัสดุ!$F$69,)</f>
        <v>4835</v>
      </c>
      <c r="F35" s="2692">
        <f>+IF(C35&gt;0,$U$11,)</f>
        <v>60</v>
      </c>
      <c r="G35" s="2692">
        <f>SUM(E35:F36)</f>
        <v>4895</v>
      </c>
      <c r="H35" s="2692">
        <f>G35*C35</f>
        <v>4895</v>
      </c>
    </row>
    <row r="36" spans="1:23" s="429" customFormat="1">
      <c r="A36" s="2707"/>
      <c r="B36" s="2709"/>
      <c r="C36" s="2711"/>
      <c r="D36" s="2697"/>
      <c r="E36" s="2693"/>
      <c r="F36" s="2693"/>
      <c r="G36" s="2693"/>
      <c r="H36" s="2693"/>
    </row>
    <row r="37" spans="1:23" s="429" customFormat="1">
      <c r="A37" s="1565">
        <f>+A35+1</f>
        <v>6</v>
      </c>
      <c r="B37" s="609" t="str">
        <f>+แหล่งวัสดุ!$B$70</f>
        <v>แผ่นใยสังเคราะห์ชนิดที่ 2</v>
      </c>
      <c r="C37" s="2304">
        <v>1</v>
      </c>
      <c r="D37" s="610" t="s">
        <v>31</v>
      </c>
      <c r="E37" s="610">
        <f>+IF(C37&gt;0,แหล่งวัสดุ!$F$70,)</f>
        <v>65</v>
      </c>
      <c r="F37" s="611">
        <f>+IF(C37&gt;0,15,)</f>
        <v>15</v>
      </c>
      <c r="G37" s="613">
        <f>SUM(E37:F37)</f>
        <v>80</v>
      </c>
      <c r="H37" s="1570">
        <f>C37*G37</f>
        <v>80</v>
      </c>
    </row>
    <row r="38" spans="1:23" s="429" customFormat="1">
      <c r="A38" s="2208">
        <f>+A37+1</f>
        <v>7</v>
      </c>
      <c r="B38" s="612" t="s">
        <v>709</v>
      </c>
      <c r="C38" s="2305">
        <v>1</v>
      </c>
      <c r="D38" s="613" t="s">
        <v>32</v>
      </c>
      <c r="E38" s="1571">
        <f>+IF(C38&gt;0,$U$10,)</f>
        <v>1091.3399999999999</v>
      </c>
      <c r="F38" s="613">
        <f>+IF(C38&gt;0,$U$12,)</f>
        <v>224.38</v>
      </c>
      <c r="G38" s="610">
        <f>SUM(E38:F38)</f>
        <v>1315.7199999999998</v>
      </c>
      <c r="H38" s="1571">
        <f>C38*G38</f>
        <v>1315.7199999999998</v>
      </c>
    </row>
    <row r="39" spans="1:23" s="429" customFormat="1">
      <c r="A39" s="2698" t="s">
        <v>1799</v>
      </c>
      <c r="B39" s="2699"/>
      <c r="C39" s="2699"/>
      <c r="D39" s="2699"/>
      <c r="E39" s="2699"/>
      <c r="F39" s="2699"/>
      <c r="G39" s="2700"/>
      <c r="H39" s="2306">
        <f>SUM(H27:H38)</f>
        <v>15677.72</v>
      </c>
    </row>
    <row r="40" spans="1:23" s="429" customFormat="1">
      <c r="A40" s="615"/>
      <c r="B40" s="616"/>
      <c r="C40" s="614"/>
      <c r="D40" s="611"/>
      <c r="E40" s="611"/>
      <c r="F40" s="611"/>
      <c r="G40" s="611"/>
      <c r="H40" s="611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s="617" customFormat="1">
      <c r="A41" s="213" t="s">
        <v>215</v>
      </c>
      <c r="B41" s="213"/>
      <c r="C41" s="213" t="s">
        <v>710</v>
      </c>
      <c r="D41" s="213"/>
      <c r="E41" s="213"/>
      <c r="H41" s="21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s="617" customFormat="1">
      <c r="B42" s="618" t="str">
        <f>+B21</f>
        <v>( นายวัลลภ  มูสิกะเจริญ ) นายช่างโยธาชำนาญงาน</v>
      </c>
      <c r="C42" s="619"/>
      <c r="E42" s="618" t="str">
        <f>+E21</f>
        <v>( นางสาวปิญาภา  ศรีมณี ) วิศวกรโยธาชำนาญการ</v>
      </c>
      <c r="F42" s="213"/>
      <c r="H42" s="620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ht="24">
      <c r="A43" s="2705" t="s">
        <v>704</v>
      </c>
      <c r="B43" s="2705"/>
      <c r="C43" s="2705"/>
      <c r="D43" s="2705"/>
      <c r="E43" s="2705"/>
      <c r="F43" s="2705"/>
      <c r="G43" s="2705"/>
      <c r="H43" s="2705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ht="24">
      <c r="A44" s="1568" t="s">
        <v>1800</v>
      </c>
      <c r="B44" s="1568"/>
      <c r="C44" s="1568"/>
      <c r="D44" s="1568"/>
      <c r="E44" s="1568"/>
      <c r="F44" s="1568" t="s">
        <v>1801</v>
      </c>
      <c r="G44" s="1569">
        <v>9850</v>
      </c>
      <c r="H44" s="1568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s="607" t="str">
        <f>A24</f>
        <v>สายทาง</v>
      </c>
      <c r="B45" s="607" t="str">
        <f>B24</f>
        <v>ปน.4031 แยกทางหลวงหมายเลข 4157-บ้านปาตา  อำเภอ  ปะนาเระ,ยะหริ่ง จังหวัด ปัตตานี</v>
      </c>
      <c r="C45" s="607"/>
      <c r="D45" s="607"/>
      <c r="E45" s="607"/>
      <c r="F45" s="607" t="s">
        <v>293</v>
      </c>
      <c r="G45" s="608">
        <f>900-650</f>
        <v>250</v>
      </c>
      <c r="H45" s="1567" t="s">
        <v>182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s="2703" t="s">
        <v>603</v>
      </c>
      <c r="B46" s="2703" t="s">
        <v>1</v>
      </c>
      <c r="C46" s="2701" t="s">
        <v>22</v>
      </c>
      <c r="D46" s="2703" t="s">
        <v>23</v>
      </c>
      <c r="E46" s="2698" t="s">
        <v>1798</v>
      </c>
      <c r="F46" s="2699"/>
      <c r="G46" s="2700"/>
      <c r="H46" s="2694" t="s">
        <v>1639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s="2704"/>
      <c r="B47" s="2704"/>
      <c r="C47" s="2702"/>
      <c r="D47" s="2704"/>
      <c r="E47" s="2307" t="s">
        <v>705</v>
      </c>
      <c r="F47" s="2308" t="s">
        <v>27</v>
      </c>
      <c r="G47" s="2307" t="s">
        <v>28</v>
      </c>
      <c r="H47" s="2695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 ht="21.75" customHeight="1">
      <c r="A48" s="2706">
        <v>1</v>
      </c>
      <c r="B48" s="2708" t="str">
        <f>+แหล่งวัสดุ!$B$65</f>
        <v>กล่อง Gabion Box  ชนิดเคลือบสังกะสี ขนาด 1.50 x 1.00 x 1.00 ม.</v>
      </c>
      <c r="C48" s="2710">
        <v>1</v>
      </c>
      <c r="D48" s="2692" t="s">
        <v>707</v>
      </c>
      <c r="E48" s="2692">
        <f>+IF(C48&gt;0,แหล่งวัสดุ!$F$65,)</f>
        <v>1408</v>
      </c>
      <c r="F48" s="2692">
        <f>+IF(C48&gt;0,$U$11,)</f>
        <v>60</v>
      </c>
      <c r="G48" s="2692">
        <f>SUM(E48:F49)</f>
        <v>1468</v>
      </c>
      <c r="H48" s="2692">
        <f>G48*C48</f>
        <v>1468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>
      <c r="A49" s="2707"/>
      <c r="B49" s="2709"/>
      <c r="C49" s="2711"/>
      <c r="D49" s="2693"/>
      <c r="E49" s="2693"/>
      <c r="F49" s="2693"/>
      <c r="G49" s="2693"/>
      <c r="H49" s="269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21.75" customHeight="1">
      <c r="A50" s="2706">
        <f>+A48+1</f>
        <v>2</v>
      </c>
      <c r="B50" s="2708" t="str">
        <f>+แหล่งวัสดุ!$B$66</f>
        <v>กล่อง Gabion Box  ชนิดเคลือบสังกะสี ขนาด 2.00 x 1.00 x 1.00 ม.</v>
      </c>
      <c r="C50" s="2710">
        <v>1</v>
      </c>
      <c r="D50" s="2692" t="s">
        <v>707</v>
      </c>
      <c r="E50" s="2692">
        <f>+IF(C50&gt;0,แหล่งวัสดุ!$F$66,)</f>
        <v>1887</v>
      </c>
      <c r="F50" s="2692">
        <f>+IF(C50&gt;0,$U$11,)</f>
        <v>60</v>
      </c>
      <c r="G50" s="2692">
        <f>SUM(E50:F51)</f>
        <v>1947</v>
      </c>
      <c r="H50" s="2692">
        <f>G50*C50</f>
        <v>1947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s="2707"/>
      <c r="B51" s="2709"/>
      <c r="C51" s="2711"/>
      <c r="D51" s="2693"/>
      <c r="E51" s="2693"/>
      <c r="F51" s="2693"/>
      <c r="G51" s="2693"/>
      <c r="H51" s="269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s="2706">
        <f>+A50+1</f>
        <v>3</v>
      </c>
      <c r="B52" s="2708" t="str">
        <f>+แหล่งวัสดุ!$B$67</f>
        <v>กล่อง Mattress  ชนิดเคลือบสังกะสี ขนาด 4.00 x 2.00 x 0.30 ม.</v>
      </c>
      <c r="C52" s="2710">
        <v>1</v>
      </c>
      <c r="D52" s="2692" t="s">
        <v>707</v>
      </c>
      <c r="E52" s="2692">
        <f>+IF(C52&gt;0,แหล่งวัสดุ!$F$67,)</f>
        <v>3322</v>
      </c>
      <c r="F52" s="2692">
        <f>+IF(C52&gt;0,$U$11,)</f>
        <v>60</v>
      </c>
      <c r="G52" s="2692">
        <f>SUM(E52:F53)</f>
        <v>3382</v>
      </c>
      <c r="H52" s="2692">
        <f>G52*C52</f>
        <v>3382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>
      <c r="A53" s="2707"/>
      <c r="B53" s="2709"/>
      <c r="C53" s="2711"/>
      <c r="D53" s="2693"/>
      <c r="E53" s="2693"/>
      <c r="F53" s="2693"/>
      <c r="G53" s="2693"/>
      <c r="H53" s="269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 ht="21.75" customHeight="1">
      <c r="A54" s="2706">
        <f>+A52+1</f>
        <v>4</v>
      </c>
      <c r="B54" s="2708" t="str">
        <f>+แหล่งวัสดุ!$B$68</f>
        <v>กล่อง Mattress  ชนิดเคลือบสังกะสี ขนาด 3.00 x 2.00 x 0.30 ม.</v>
      </c>
      <c r="C54" s="2710">
        <v>1</v>
      </c>
      <c r="D54" s="2696" t="s">
        <v>707</v>
      </c>
      <c r="E54" s="2692">
        <f>+IF(C54&gt;0,แหล่งวัสดุ!$F$68,)</f>
        <v>2530</v>
      </c>
      <c r="F54" s="2692">
        <f>+IF(C54&gt;0,$U$11,)</f>
        <v>60</v>
      </c>
      <c r="G54" s="2692">
        <f>SUM(E54:F55)</f>
        <v>2590</v>
      </c>
      <c r="H54" s="2692">
        <f>G54*C54</f>
        <v>2590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s="2707"/>
      <c r="B55" s="2709"/>
      <c r="C55" s="2711"/>
      <c r="D55" s="2697"/>
      <c r="E55" s="2693"/>
      <c r="F55" s="2693"/>
      <c r="G55" s="2693"/>
      <c r="H55" s="269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ht="21.75" customHeight="1">
      <c r="A56" s="2706">
        <f>+A54+1</f>
        <v>5</v>
      </c>
      <c r="B56" s="2708" t="str">
        <f>+แหล่งวัสดุ!$B$69</f>
        <v>กล่อง Mattress  ชนิดเคลือบสังกะสี ขนาด 6.00 x 2.00 x 0.30 ม.</v>
      </c>
      <c r="C56" s="2710">
        <v>1</v>
      </c>
      <c r="D56" s="2696" t="s">
        <v>707</v>
      </c>
      <c r="E56" s="2692">
        <f>+IF(C56&gt;0,แหล่งวัสดุ!$F$69,)</f>
        <v>4835</v>
      </c>
      <c r="F56" s="2692">
        <f>+IF(C56&gt;0,$U$11,)</f>
        <v>60</v>
      </c>
      <c r="G56" s="2692">
        <f>SUM(E56:F57)</f>
        <v>4895</v>
      </c>
      <c r="H56" s="2692">
        <f>G56*C56</f>
        <v>4895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>
      <c r="A57" s="2707"/>
      <c r="B57" s="2709"/>
      <c r="C57" s="2711"/>
      <c r="D57" s="2697"/>
      <c r="E57" s="2693"/>
      <c r="F57" s="2693"/>
      <c r="G57" s="2693"/>
      <c r="H57" s="269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>
      <c r="A58" s="1565">
        <f>+A56+1</f>
        <v>6</v>
      </c>
      <c r="B58" s="609" t="str">
        <f>+แหล่งวัสดุ!$B$70</f>
        <v>แผ่นใยสังเคราะห์ชนิดที่ 2</v>
      </c>
      <c r="C58" s="2304">
        <v>1</v>
      </c>
      <c r="D58" s="610" t="s">
        <v>31</v>
      </c>
      <c r="E58" s="610">
        <f>+IF(C58&gt;0,แหล่งวัสดุ!$F$70,)</f>
        <v>65</v>
      </c>
      <c r="F58" s="611">
        <f>+IF(C58&gt;0,15,)</f>
        <v>15</v>
      </c>
      <c r="G58" s="613">
        <f>SUM(E58:F58)</f>
        <v>80</v>
      </c>
      <c r="H58" s="1570">
        <f>C58*G58</f>
        <v>80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>
      <c r="A59" s="2208">
        <f>+A58+1</f>
        <v>7</v>
      </c>
      <c r="B59" s="612" t="s">
        <v>709</v>
      </c>
      <c r="C59" s="2305">
        <v>1</v>
      </c>
      <c r="D59" s="613" t="s">
        <v>32</v>
      </c>
      <c r="E59" s="1571">
        <f>+IF(C59&gt;0,$U$10,)</f>
        <v>1091.3399999999999</v>
      </c>
      <c r="F59" s="613">
        <f>+IF(C59&gt;0,$U$12,)</f>
        <v>224.38</v>
      </c>
      <c r="G59" s="610">
        <f>SUM(E59:F59)</f>
        <v>1315.7199999999998</v>
      </c>
      <c r="H59" s="1571">
        <f>C59*G59</f>
        <v>1315.7199999999998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s="2698" t="s">
        <v>1799</v>
      </c>
      <c r="B60" s="2699"/>
      <c r="C60" s="2699"/>
      <c r="D60" s="2699"/>
      <c r="E60" s="2699"/>
      <c r="F60" s="2699"/>
      <c r="G60" s="2700"/>
      <c r="H60" s="2306">
        <f>SUM(H48:H59)</f>
        <v>15677.72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>
      <c r="A61" s="615"/>
      <c r="B61" s="616"/>
      <c r="C61" s="614"/>
      <c r="D61" s="611"/>
      <c r="E61" s="611"/>
      <c r="F61" s="611"/>
      <c r="G61" s="611"/>
      <c r="H61" s="61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s="213" t="s">
        <v>215</v>
      </c>
      <c r="B62" s="213"/>
      <c r="C62" s="213" t="s">
        <v>710</v>
      </c>
      <c r="D62" s="213"/>
      <c r="E62" s="213"/>
      <c r="F62" s="617"/>
      <c r="G62" s="617"/>
      <c r="H62" s="21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>
      <c r="A63" s="617"/>
      <c r="B63" s="618" t="str">
        <f>+B42</f>
        <v>( นายวัลลภ  มูสิกะเจริญ ) นายช่างโยธาชำนาญงาน</v>
      </c>
      <c r="C63" s="619"/>
      <c r="D63" s="617"/>
      <c r="E63" s="618" t="str">
        <f>+E42</f>
        <v>( นางสาวปิญาภา  ศรีมณี ) วิศวกรโยธาชำนาญการ</v>
      </c>
      <c r="F63" s="213"/>
      <c r="G63" s="617"/>
      <c r="H63" s="620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9:23"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9:23"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9:23">
      <c r="J67"/>
      <c r="K67"/>
      <c r="L67"/>
      <c r="M67"/>
      <c r="N67"/>
      <c r="O67"/>
      <c r="P67"/>
      <c r="Q67"/>
      <c r="R67"/>
      <c r="S67"/>
      <c r="T67"/>
      <c r="U67"/>
      <c r="V67"/>
      <c r="W67"/>
    </row>
    <row r="68" spans="9:23">
      <c r="J68"/>
      <c r="K68"/>
      <c r="L68"/>
      <c r="M68"/>
      <c r="N68"/>
      <c r="O68"/>
      <c r="P68"/>
      <c r="Q68"/>
      <c r="R68"/>
      <c r="S68"/>
      <c r="T68"/>
      <c r="U68"/>
      <c r="V68"/>
      <c r="W68"/>
    </row>
    <row r="69" spans="9:23"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9:23"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  <row r="71" spans="9:23">
      <c r="J71"/>
      <c r="K71"/>
      <c r="L71"/>
      <c r="M71"/>
      <c r="N71"/>
      <c r="O71"/>
      <c r="P71"/>
      <c r="Q71"/>
      <c r="R71"/>
      <c r="S71"/>
      <c r="T71"/>
      <c r="U71"/>
      <c r="V71"/>
      <c r="W71"/>
    </row>
    <row r="72" spans="9:23">
      <c r="J72"/>
      <c r="K72"/>
      <c r="L72"/>
      <c r="M72"/>
      <c r="N72"/>
      <c r="O72"/>
      <c r="P72"/>
      <c r="Q72"/>
      <c r="R72"/>
      <c r="S72"/>
      <c r="T72"/>
      <c r="U72"/>
      <c r="V72"/>
      <c r="W72"/>
    </row>
    <row r="73" spans="9:23">
      <c r="J73"/>
      <c r="K73"/>
      <c r="L73"/>
      <c r="M73"/>
      <c r="N73"/>
      <c r="O73"/>
      <c r="P73"/>
      <c r="Q73"/>
      <c r="R73"/>
      <c r="S73"/>
      <c r="T73"/>
      <c r="U73"/>
      <c r="V73"/>
      <c r="W73"/>
    </row>
    <row r="74" spans="9:23">
      <c r="J74"/>
      <c r="K74"/>
      <c r="L74"/>
      <c r="M74"/>
      <c r="N74"/>
      <c r="O74"/>
      <c r="P74"/>
      <c r="Q74"/>
      <c r="R74"/>
      <c r="S74"/>
      <c r="T74"/>
      <c r="U74"/>
      <c r="V74"/>
      <c r="W74"/>
    </row>
    <row r="75" spans="9:23">
      <c r="J75"/>
      <c r="K75"/>
      <c r="L75"/>
      <c r="M75"/>
      <c r="N75"/>
      <c r="O75"/>
      <c r="P75"/>
      <c r="Q75"/>
      <c r="R75"/>
      <c r="S75"/>
      <c r="T75"/>
      <c r="U75"/>
      <c r="V75"/>
      <c r="W75"/>
    </row>
    <row r="76" spans="9:23" hidden="1">
      <c r="J76"/>
      <c r="K76"/>
      <c r="L76"/>
      <c r="M76"/>
      <c r="N76"/>
      <c r="O76"/>
      <c r="P76"/>
      <c r="Q76"/>
      <c r="R76"/>
      <c r="S76"/>
      <c r="T76"/>
      <c r="U76"/>
      <c r="V76"/>
      <c r="W76"/>
    </row>
    <row r="77" spans="9:23" hidden="1">
      <c r="J77"/>
      <c r="K77"/>
      <c r="L77"/>
      <c r="M77"/>
      <c r="N77"/>
      <c r="O77"/>
      <c r="P77"/>
      <c r="Q77"/>
      <c r="R77"/>
      <c r="S77"/>
      <c r="T77"/>
      <c r="U77"/>
      <c r="V77"/>
      <c r="W77"/>
    </row>
    <row r="78" spans="9:23">
      <c r="J78"/>
      <c r="K78"/>
      <c r="L78"/>
      <c r="M78"/>
      <c r="N78"/>
      <c r="O78"/>
      <c r="P78"/>
      <c r="Q78"/>
      <c r="R78"/>
      <c r="S78"/>
      <c r="T78"/>
      <c r="U78"/>
      <c r="V78"/>
      <c r="W78"/>
    </row>
    <row r="79" spans="9:23">
      <c r="J79"/>
      <c r="K79"/>
      <c r="L79"/>
      <c r="M79"/>
      <c r="N79"/>
      <c r="O79"/>
      <c r="P79"/>
      <c r="Q79"/>
      <c r="R79"/>
      <c r="S79"/>
      <c r="T79"/>
      <c r="U79"/>
      <c r="V79"/>
      <c r="W79"/>
    </row>
    <row r="80" spans="9:23">
      <c r="J80"/>
      <c r="K80"/>
      <c r="L80"/>
      <c r="M80"/>
      <c r="N80"/>
      <c r="O80"/>
      <c r="P80"/>
      <c r="Q80"/>
      <c r="R80"/>
      <c r="S80"/>
      <c r="T80"/>
      <c r="U80"/>
      <c r="V80"/>
      <c r="W80"/>
    </row>
    <row r="81" spans="9:23">
      <c r="J81"/>
      <c r="K81"/>
      <c r="L81"/>
      <c r="M81"/>
      <c r="N81"/>
      <c r="O81"/>
      <c r="P81"/>
      <c r="Q81"/>
      <c r="R81"/>
      <c r="S81"/>
      <c r="T81"/>
      <c r="U81"/>
      <c r="V81"/>
      <c r="W81"/>
    </row>
    <row r="82" spans="9:23">
      <c r="J82"/>
      <c r="K82"/>
      <c r="L82"/>
      <c r="M82"/>
      <c r="N82"/>
      <c r="O82"/>
      <c r="P82"/>
      <c r="Q82"/>
      <c r="R82"/>
      <c r="S82"/>
      <c r="T82"/>
      <c r="U82"/>
      <c r="V82"/>
      <c r="W82"/>
    </row>
    <row r="83" spans="9:23">
      <c r="J83"/>
      <c r="K83"/>
      <c r="L83"/>
      <c r="M83"/>
      <c r="N83"/>
      <c r="O83"/>
      <c r="P83"/>
      <c r="Q83"/>
      <c r="R83"/>
      <c r="S83"/>
      <c r="T83"/>
      <c r="U83"/>
      <c r="V83"/>
      <c r="W83"/>
    </row>
    <row r="84" spans="9:23">
      <c r="J84"/>
      <c r="K84"/>
      <c r="L84"/>
      <c r="M84"/>
      <c r="N84"/>
      <c r="O84"/>
      <c r="P84"/>
      <c r="Q84"/>
      <c r="R84"/>
      <c r="S84"/>
      <c r="T84"/>
      <c r="U84"/>
      <c r="V84"/>
      <c r="W84"/>
    </row>
    <row r="85" spans="9:23">
      <c r="J85"/>
      <c r="K85"/>
      <c r="L85"/>
      <c r="M85"/>
      <c r="N85"/>
      <c r="O85"/>
      <c r="P85"/>
      <c r="Q85"/>
      <c r="R85"/>
      <c r="S85"/>
      <c r="T85"/>
      <c r="U85"/>
      <c r="V85"/>
      <c r="W85"/>
    </row>
    <row r="86" spans="9:23">
      <c r="I86" s="434"/>
      <c r="J86"/>
      <c r="K86"/>
      <c r="L86"/>
      <c r="M86"/>
      <c r="N86"/>
      <c r="O86"/>
      <c r="P86"/>
      <c r="Q86"/>
      <c r="R86"/>
      <c r="S86"/>
      <c r="T86"/>
      <c r="U86"/>
      <c r="V86"/>
      <c r="W86"/>
    </row>
    <row r="87" spans="9:23">
      <c r="I87" s="434"/>
      <c r="J87"/>
      <c r="K87"/>
      <c r="L87"/>
      <c r="M87"/>
      <c r="N87"/>
      <c r="O87"/>
      <c r="P87"/>
      <c r="Q87"/>
      <c r="R87"/>
      <c r="S87"/>
      <c r="T87"/>
      <c r="U87"/>
      <c r="V87"/>
      <c r="W87"/>
    </row>
    <row r="88" spans="9:23">
      <c r="I88" s="434"/>
      <c r="J88"/>
      <c r="K88"/>
      <c r="L88"/>
      <c r="M88"/>
      <c r="N88"/>
      <c r="O88"/>
      <c r="P88"/>
      <c r="Q88"/>
      <c r="R88"/>
      <c r="S88"/>
      <c r="T88"/>
      <c r="U88"/>
      <c r="V88"/>
      <c r="W88"/>
    </row>
    <row r="89" spans="9:23">
      <c r="I89" s="434"/>
      <c r="J89"/>
      <c r="K89"/>
      <c r="L89"/>
      <c r="M89"/>
      <c r="N89"/>
      <c r="O89"/>
      <c r="P89"/>
      <c r="Q89"/>
      <c r="R89"/>
      <c r="S89"/>
      <c r="T89"/>
      <c r="U89"/>
      <c r="V89"/>
      <c r="W89"/>
    </row>
    <row r="90" spans="9:23">
      <c r="I90" s="434"/>
      <c r="J90"/>
      <c r="K90"/>
      <c r="L90"/>
      <c r="M90"/>
      <c r="N90"/>
      <c r="O90"/>
      <c r="P90"/>
      <c r="Q90"/>
      <c r="R90"/>
      <c r="S90"/>
      <c r="T90"/>
      <c r="U90"/>
      <c r="V90"/>
      <c r="W90"/>
    </row>
    <row r="91" spans="9:23">
      <c r="I91" s="434"/>
      <c r="J91"/>
      <c r="K91"/>
      <c r="L91"/>
      <c r="M91"/>
      <c r="N91"/>
      <c r="O91"/>
      <c r="P91"/>
      <c r="Q91"/>
      <c r="R91"/>
      <c r="S91"/>
      <c r="T91"/>
      <c r="U91"/>
      <c r="V91"/>
      <c r="W91"/>
    </row>
    <row r="92" spans="9:23">
      <c r="I92" s="434"/>
      <c r="J92"/>
      <c r="K92"/>
      <c r="L92"/>
      <c r="M92"/>
      <c r="N92"/>
      <c r="O92"/>
      <c r="P92"/>
      <c r="Q92"/>
      <c r="R92"/>
      <c r="S92"/>
      <c r="T92"/>
      <c r="U92"/>
      <c r="V92"/>
      <c r="W92"/>
    </row>
    <row r="93" spans="9:23">
      <c r="I93" s="434"/>
      <c r="J93"/>
      <c r="K93"/>
      <c r="L93"/>
      <c r="M93"/>
      <c r="N93"/>
      <c r="O93"/>
      <c r="P93"/>
      <c r="Q93"/>
      <c r="R93"/>
      <c r="S93"/>
      <c r="T93"/>
      <c r="U93"/>
      <c r="V93"/>
      <c r="W93"/>
    </row>
    <row r="94" spans="9:23">
      <c r="I94" s="434"/>
      <c r="J94" s="434"/>
      <c r="K94" s="434"/>
      <c r="L94" s="434"/>
      <c r="M94" s="434"/>
      <c r="N94" s="434"/>
      <c r="O94" s="434"/>
      <c r="P94" s="434"/>
      <c r="Q94" s="434"/>
    </row>
    <row r="95" spans="9:23">
      <c r="I95" s="434"/>
      <c r="J95" s="434"/>
      <c r="K95" s="434"/>
      <c r="L95" s="434"/>
      <c r="M95" s="434"/>
      <c r="N95" s="434"/>
      <c r="O95" s="434"/>
      <c r="P95" s="434"/>
      <c r="Q95" s="434"/>
    </row>
    <row r="96" spans="9:23" hidden="1">
      <c r="I96" s="434"/>
      <c r="J96" s="434"/>
      <c r="K96" s="434"/>
      <c r="L96" s="434"/>
      <c r="M96" s="434"/>
      <c r="N96" s="434"/>
      <c r="O96" s="434"/>
      <c r="P96" s="434"/>
      <c r="Q96" s="434"/>
    </row>
    <row r="97" spans="9:17" hidden="1">
      <c r="I97" s="434"/>
      <c r="J97" s="434"/>
      <c r="K97" s="434"/>
      <c r="L97" s="434"/>
      <c r="M97" s="434"/>
      <c r="N97" s="434"/>
      <c r="O97" s="434"/>
      <c r="P97" s="434"/>
      <c r="Q97" s="434"/>
    </row>
    <row r="98" spans="9:17">
      <c r="I98" s="434"/>
      <c r="J98" s="434"/>
      <c r="K98" s="434"/>
      <c r="L98" s="434"/>
      <c r="M98" s="434"/>
      <c r="N98" s="434"/>
      <c r="O98" s="434"/>
      <c r="P98" s="434"/>
      <c r="Q98" s="434"/>
    </row>
    <row r="99" spans="9:17">
      <c r="I99" s="434"/>
      <c r="J99" s="434"/>
      <c r="K99" s="434"/>
      <c r="L99" s="434"/>
      <c r="M99" s="434"/>
      <c r="N99" s="434"/>
      <c r="O99" s="434"/>
      <c r="P99" s="434"/>
      <c r="Q99" s="434"/>
    </row>
    <row r="100" spans="9:17">
      <c r="I100" s="434"/>
      <c r="J100" s="434"/>
      <c r="K100" s="434"/>
      <c r="L100" s="434"/>
      <c r="M100" s="434"/>
      <c r="N100" s="434"/>
      <c r="O100" s="434"/>
      <c r="P100" s="434"/>
      <c r="Q100" s="434"/>
    </row>
    <row r="101" spans="9:17">
      <c r="I101" s="434"/>
      <c r="J101" s="434"/>
      <c r="K101" s="434"/>
      <c r="L101" s="434"/>
      <c r="M101" s="434"/>
      <c r="N101" s="434"/>
      <c r="O101" s="434"/>
      <c r="P101" s="434"/>
      <c r="Q101" s="434"/>
    </row>
    <row r="102" spans="9:17">
      <c r="I102" s="434"/>
      <c r="J102" s="434"/>
      <c r="K102" s="434"/>
      <c r="L102" s="434"/>
      <c r="M102" s="434"/>
      <c r="N102" s="434"/>
      <c r="O102" s="434"/>
      <c r="P102" s="434"/>
      <c r="Q102" s="434"/>
    </row>
    <row r="103" spans="9:17">
      <c r="I103" s="434"/>
      <c r="J103" s="434"/>
      <c r="K103" s="434"/>
      <c r="L103" s="434"/>
      <c r="M103" s="434"/>
      <c r="N103" s="434"/>
      <c r="O103" s="434"/>
      <c r="P103" s="434"/>
      <c r="Q103" s="434"/>
    </row>
    <row r="104" spans="9:17">
      <c r="I104" s="434"/>
      <c r="J104" s="434"/>
      <c r="K104" s="434"/>
      <c r="L104" s="434"/>
      <c r="M104" s="434"/>
      <c r="N104" s="434"/>
      <c r="O104" s="434"/>
      <c r="P104" s="434"/>
      <c r="Q104" s="434"/>
    </row>
    <row r="105" spans="9:17">
      <c r="I105" s="434"/>
      <c r="J105" s="434"/>
      <c r="K105" s="434"/>
      <c r="L105" s="434"/>
      <c r="M105" s="434"/>
      <c r="N105" s="434"/>
      <c r="O105" s="434"/>
      <c r="P105" s="434"/>
      <c r="Q105" s="434"/>
    </row>
    <row r="106" spans="9:17">
      <c r="I106" s="434"/>
      <c r="J106" s="434"/>
      <c r="K106" s="434"/>
      <c r="L106" s="434"/>
      <c r="M106" s="434"/>
      <c r="N106" s="434"/>
      <c r="O106" s="434"/>
      <c r="P106" s="434"/>
      <c r="Q106" s="434"/>
    </row>
    <row r="107" spans="9:17">
      <c r="I107" s="434"/>
      <c r="J107" s="434"/>
      <c r="K107" s="434"/>
      <c r="L107" s="434"/>
      <c r="M107" s="434"/>
      <c r="N107" s="434"/>
      <c r="O107" s="434"/>
      <c r="P107" s="434"/>
      <c r="Q107" s="434"/>
    </row>
    <row r="108" spans="9:17">
      <c r="I108" s="434"/>
      <c r="J108" s="434"/>
      <c r="K108" s="434"/>
      <c r="L108" s="434"/>
      <c r="M108" s="434"/>
      <c r="N108" s="434"/>
      <c r="O108" s="434"/>
      <c r="P108" s="434"/>
      <c r="Q108" s="434"/>
    </row>
    <row r="109" spans="9:17">
      <c r="I109" s="434"/>
      <c r="J109" s="434"/>
      <c r="K109" s="434"/>
      <c r="L109" s="434"/>
      <c r="M109" s="434"/>
      <c r="N109" s="434"/>
      <c r="O109" s="434"/>
      <c r="P109" s="434"/>
      <c r="Q109" s="434"/>
    </row>
    <row r="110" spans="9:17">
      <c r="I110" s="434"/>
      <c r="J110" s="434"/>
      <c r="K110" s="434"/>
      <c r="L110" s="434"/>
      <c r="M110" s="434"/>
      <c r="N110" s="434"/>
      <c r="O110" s="434"/>
      <c r="P110" s="434"/>
      <c r="Q110" s="434"/>
    </row>
    <row r="111" spans="9:17">
      <c r="I111" s="434"/>
      <c r="J111" s="434"/>
      <c r="K111" s="434"/>
      <c r="L111" s="434"/>
      <c r="M111" s="434"/>
      <c r="N111" s="434"/>
      <c r="O111" s="434"/>
      <c r="P111" s="434"/>
      <c r="Q111" s="434"/>
    </row>
    <row r="112" spans="9:17">
      <c r="I112" s="434"/>
      <c r="J112" s="434"/>
      <c r="K112" s="434"/>
      <c r="L112" s="434"/>
      <c r="M112" s="434"/>
      <c r="N112" s="434"/>
      <c r="O112" s="434"/>
      <c r="P112" s="434"/>
      <c r="Q112" s="434"/>
    </row>
    <row r="113" spans="9:17">
      <c r="I113" s="434"/>
      <c r="J113" s="434"/>
      <c r="K113" s="434"/>
      <c r="L113" s="434"/>
      <c r="M113" s="434"/>
      <c r="N113" s="434"/>
      <c r="O113" s="434"/>
      <c r="P113" s="434"/>
      <c r="Q113" s="434"/>
    </row>
    <row r="114" spans="9:17">
      <c r="I114" s="434"/>
      <c r="J114" s="434"/>
      <c r="K114" s="434"/>
      <c r="L114" s="434"/>
      <c r="M114" s="434"/>
      <c r="N114" s="434"/>
      <c r="O114" s="434"/>
      <c r="P114" s="434"/>
      <c r="Q114" s="434"/>
    </row>
    <row r="115" spans="9:17">
      <c r="I115" s="434"/>
      <c r="J115" s="434"/>
      <c r="K115" s="434"/>
      <c r="L115" s="434"/>
      <c r="M115" s="434"/>
      <c r="N115" s="434"/>
      <c r="O115" s="434"/>
      <c r="P115" s="434"/>
      <c r="Q115" s="434"/>
    </row>
    <row r="116" spans="9:17" hidden="1">
      <c r="I116" s="434"/>
      <c r="J116" s="434"/>
      <c r="K116" s="434"/>
      <c r="L116" s="434"/>
      <c r="M116" s="434"/>
      <c r="N116" s="434"/>
      <c r="O116" s="434"/>
      <c r="P116" s="434"/>
      <c r="Q116" s="434"/>
    </row>
    <row r="117" spans="9:17" hidden="1">
      <c r="I117" s="434"/>
      <c r="J117" s="434"/>
      <c r="K117" s="434"/>
      <c r="L117" s="434"/>
      <c r="M117" s="434"/>
      <c r="N117" s="434"/>
      <c r="O117" s="434"/>
      <c r="P117" s="434"/>
      <c r="Q117" s="434"/>
    </row>
    <row r="118" spans="9:17">
      <c r="I118" s="434"/>
      <c r="J118" s="434"/>
      <c r="K118" s="434"/>
      <c r="L118" s="434"/>
      <c r="M118" s="434"/>
      <c r="N118" s="434"/>
      <c r="O118" s="434"/>
      <c r="P118" s="434"/>
      <c r="Q118" s="434"/>
    </row>
    <row r="119" spans="9:17">
      <c r="I119" s="434"/>
      <c r="J119" s="434"/>
      <c r="K119" s="434"/>
      <c r="L119" s="434"/>
      <c r="M119" s="434"/>
      <c r="N119" s="434"/>
      <c r="O119" s="434"/>
      <c r="P119" s="434"/>
      <c r="Q119" s="434"/>
    </row>
    <row r="120" spans="9:17">
      <c r="I120" s="434"/>
      <c r="J120" s="434"/>
      <c r="K120" s="434"/>
      <c r="L120" s="434"/>
      <c r="M120" s="434"/>
      <c r="N120" s="434"/>
      <c r="O120" s="434"/>
      <c r="P120" s="434"/>
      <c r="Q120" s="434"/>
    </row>
    <row r="121" spans="9:17">
      <c r="I121" s="434"/>
      <c r="J121" s="434"/>
      <c r="K121" s="434"/>
      <c r="L121" s="434"/>
      <c r="M121" s="434"/>
      <c r="N121" s="434"/>
      <c r="O121" s="434"/>
      <c r="P121" s="434"/>
      <c r="Q121" s="434"/>
    </row>
    <row r="122" spans="9:17">
      <c r="I122" s="434"/>
      <c r="J122" s="434"/>
      <c r="K122" s="434"/>
      <c r="L122" s="434"/>
      <c r="M122" s="434"/>
      <c r="N122" s="434"/>
      <c r="O122" s="434"/>
      <c r="P122" s="434"/>
      <c r="Q122" s="434"/>
    </row>
    <row r="123" spans="9:17">
      <c r="I123" s="434"/>
      <c r="J123" s="434"/>
      <c r="K123" s="434"/>
      <c r="L123" s="434"/>
      <c r="M123" s="434"/>
      <c r="N123" s="434"/>
      <c r="O123" s="434"/>
      <c r="P123" s="434"/>
      <c r="Q123" s="434"/>
    </row>
    <row r="124" spans="9:17">
      <c r="I124" s="434"/>
      <c r="J124" s="434"/>
      <c r="K124" s="434"/>
      <c r="L124" s="434"/>
      <c r="M124" s="434"/>
      <c r="N124" s="434"/>
      <c r="O124" s="434"/>
      <c r="P124" s="434"/>
      <c r="Q124" s="434"/>
    </row>
    <row r="125" spans="9:17">
      <c r="I125" s="434"/>
      <c r="J125" s="434"/>
      <c r="K125" s="434"/>
      <c r="L125" s="434"/>
      <c r="M125" s="434"/>
      <c r="N125" s="434"/>
      <c r="O125" s="434"/>
      <c r="P125" s="434"/>
      <c r="Q125" s="434"/>
    </row>
    <row r="126" spans="9:17">
      <c r="I126" s="434"/>
      <c r="J126" s="434"/>
      <c r="K126" s="434"/>
      <c r="L126" s="434"/>
      <c r="M126" s="434"/>
      <c r="N126" s="434"/>
      <c r="O126" s="434"/>
      <c r="P126" s="434"/>
      <c r="Q126" s="434"/>
    </row>
    <row r="127" spans="9:17">
      <c r="I127" s="434"/>
      <c r="J127" s="434"/>
      <c r="K127" s="434"/>
      <c r="L127" s="434"/>
      <c r="M127" s="434"/>
      <c r="N127" s="434"/>
      <c r="O127" s="434"/>
      <c r="P127" s="434"/>
      <c r="Q127" s="434"/>
    </row>
    <row r="128" spans="9:17">
      <c r="I128" s="434"/>
      <c r="J128" s="434"/>
      <c r="K128" s="434"/>
      <c r="L128" s="434"/>
      <c r="M128" s="434"/>
      <c r="N128" s="434"/>
      <c r="O128" s="434"/>
      <c r="P128" s="434"/>
      <c r="Q128" s="434"/>
    </row>
    <row r="129" spans="9:17">
      <c r="I129" s="434"/>
      <c r="J129" s="434"/>
      <c r="K129" s="434"/>
      <c r="L129" s="434"/>
      <c r="M129" s="434"/>
      <c r="N129" s="434"/>
      <c r="O129" s="434"/>
      <c r="P129" s="434"/>
      <c r="Q129" s="434"/>
    </row>
    <row r="130" spans="9:17">
      <c r="I130" s="434"/>
      <c r="J130" s="434"/>
      <c r="K130" s="434"/>
      <c r="L130" s="434"/>
      <c r="M130" s="434"/>
      <c r="N130" s="434"/>
      <c r="O130" s="434"/>
      <c r="P130" s="434"/>
      <c r="Q130" s="434"/>
    </row>
    <row r="131" spans="9:17">
      <c r="I131" s="434"/>
      <c r="J131" s="434"/>
      <c r="K131" s="434"/>
      <c r="L131" s="434"/>
      <c r="M131" s="434"/>
      <c r="N131" s="434"/>
      <c r="O131" s="434"/>
      <c r="P131" s="434"/>
      <c r="Q131" s="434"/>
    </row>
    <row r="132" spans="9:17">
      <c r="I132" s="434"/>
      <c r="J132" s="434"/>
      <c r="K132" s="434"/>
      <c r="L132" s="434"/>
      <c r="M132" s="434"/>
      <c r="N132" s="434"/>
      <c r="O132" s="434"/>
      <c r="P132" s="434"/>
      <c r="Q132" s="434"/>
    </row>
    <row r="133" spans="9:17">
      <c r="I133" s="434"/>
      <c r="J133" s="434"/>
      <c r="K133" s="434"/>
      <c r="L133" s="434"/>
      <c r="M133" s="434"/>
      <c r="N133" s="434"/>
      <c r="O133" s="434"/>
      <c r="P133" s="434"/>
      <c r="Q133" s="434"/>
    </row>
    <row r="134" spans="9:17">
      <c r="I134" s="434"/>
      <c r="J134" s="434"/>
      <c r="K134" s="434"/>
      <c r="L134" s="434"/>
      <c r="M134" s="434"/>
      <c r="N134" s="434"/>
      <c r="O134" s="434"/>
      <c r="P134" s="434"/>
      <c r="Q134" s="434"/>
    </row>
    <row r="135" spans="9:17">
      <c r="I135" s="434"/>
      <c r="J135" s="434"/>
      <c r="K135" s="434"/>
      <c r="L135" s="434"/>
      <c r="M135" s="434"/>
      <c r="N135" s="434"/>
      <c r="O135" s="434"/>
      <c r="P135" s="434"/>
      <c r="Q135" s="434"/>
    </row>
    <row r="136" spans="9:17">
      <c r="I136" s="434"/>
      <c r="J136" s="434"/>
      <c r="K136" s="434"/>
      <c r="L136" s="434"/>
      <c r="M136" s="434"/>
      <c r="N136" s="434"/>
      <c r="O136" s="434"/>
      <c r="P136" s="434"/>
      <c r="Q136" s="434"/>
    </row>
    <row r="137" spans="9:17">
      <c r="I137" s="434"/>
      <c r="J137" s="434"/>
      <c r="K137" s="434"/>
      <c r="L137" s="434"/>
      <c r="M137" s="434"/>
      <c r="N137" s="434"/>
      <c r="O137" s="434"/>
      <c r="P137" s="434"/>
      <c r="Q137" s="434"/>
    </row>
    <row r="138" spans="9:17">
      <c r="I138" s="434"/>
      <c r="J138" s="434"/>
      <c r="K138" s="434"/>
      <c r="L138" s="434"/>
      <c r="M138" s="434"/>
      <c r="N138" s="434"/>
      <c r="O138" s="434"/>
      <c r="P138" s="434"/>
      <c r="Q138" s="434"/>
    </row>
    <row r="139" spans="9:17">
      <c r="I139" s="434"/>
      <c r="J139" s="434"/>
      <c r="K139" s="434"/>
      <c r="L139" s="434"/>
      <c r="M139" s="434"/>
      <c r="N139" s="434"/>
      <c r="O139" s="434"/>
      <c r="P139" s="434"/>
      <c r="Q139" s="434"/>
    </row>
    <row r="140" spans="9:17">
      <c r="I140" s="434"/>
      <c r="J140" s="434"/>
      <c r="K140" s="434"/>
      <c r="L140" s="434"/>
      <c r="M140" s="434"/>
      <c r="N140" s="434"/>
      <c r="O140" s="434"/>
      <c r="P140" s="434"/>
      <c r="Q140" s="434"/>
    </row>
    <row r="141" spans="9:17">
      <c r="I141" s="434"/>
      <c r="J141" s="434"/>
      <c r="K141" s="434"/>
      <c r="L141" s="434"/>
      <c r="M141" s="434"/>
      <c r="N141" s="434"/>
      <c r="O141" s="434"/>
      <c r="P141" s="434"/>
      <c r="Q141" s="434"/>
    </row>
    <row r="142" spans="9:17">
      <c r="I142" s="434"/>
      <c r="J142" s="434"/>
      <c r="K142" s="434"/>
      <c r="L142" s="434"/>
      <c r="M142" s="434"/>
      <c r="N142" s="434"/>
      <c r="O142" s="434"/>
      <c r="P142" s="434"/>
      <c r="Q142" s="434"/>
    </row>
    <row r="143" spans="9:17">
      <c r="I143" s="434"/>
      <c r="J143" s="434"/>
      <c r="K143" s="434"/>
      <c r="L143" s="434"/>
      <c r="M143" s="434"/>
      <c r="N143" s="434"/>
      <c r="O143" s="434"/>
      <c r="P143" s="434"/>
      <c r="Q143" s="434"/>
    </row>
    <row r="144" spans="9:17">
      <c r="I144" s="434"/>
      <c r="J144" s="434"/>
      <c r="K144" s="434"/>
      <c r="L144" s="434"/>
      <c r="M144" s="434"/>
      <c r="N144" s="434"/>
      <c r="O144" s="434"/>
      <c r="P144" s="434"/>
      <c r="Q144" s="434"/>
    </row>
    <row r="145" spans="9:17">
      <c r="I145" s="434"/>
      <c r="J145" s="434"/>
      <c r="K145" s="434"/>
      <c r="L145" s="434"/>
      <c r="M145" s="434"/>
      <c r="N145" s="434"/>
      <c r="O145" s="434"/>
      <c r="P145" s="434"/>
      <c r="Q145" s="434"/>
    </row>
    <row r="146" spans="9:17">
      <c r="I146" s="434"/>
      <c r="J146" s="434"/>
      <c r="K146" s="434"/>
      <c r="L146" s="434"/>
      <c r="M146" s="434"/>
      <c r="N146" s="434"/>
      <c r="O146" s="434"/>
      <c r="P146" s="434"/>
      <c r="Q146" s="434"/>
    </row>
    <row r="147" spans="9:17">
      <c r="I147" s="434"/>
      <c r="J147" s="434"/>
      <c r="K147" s="434"/>
      <c r="L147" s="434"/>
      <c r="M147" s="434"/>
      <c r="N147" s="434"/>
      <c r="O147" s="434"/>
      <c r="P147" s="434"/>
      <c r="Q147" s="434"/>
    </row>
    <row r="148" spans="9:17">
      <c r="I148" s="434"/>
      <c r="J148" s="434"/>
      <c r="K148" s="434"/>
      <c r="L148" s="434"/>
      <c r="M148" s="434"/>
      <c r="N148" s="434"/>
      <c r="O148" s="434"/>
      <c r="P148" s="434"/>
      <c r="Q148" s="434"/>
    </row>
    <row r="149" spans="9:17">
      <c r="I149" s="434"/>
      <c r="J149" s="434"/>
      <c r="K149" s="434"/>
      <c r="L149" s="434"/>
      <c r="M149" s="434"/>
      <c r="N149" s="434"/>
      <c r="O149" s="434"/>
      <c r="P149" s="434"/>
      <c r="Q149" s="434"/>
    </row>
    <row r="150" spans="9:17">
      <c r="I150" s="434"/>
      <c r="J150" s="434"/>
      <c r="K150" s="434"/>
      <c r="L150" s="434"/>
      <c r="M150" s="434"/>
      <c r="N150" s="434"/>
      <c r="O150" s="434"/>
      <c r="P150" s="434"/>
      <c r="Q150" s="434"/>
    </row>
    <row r="151" spans="9:17">
      <c r="I151" s="434"/>
      <c r="J151" s="434"/>
      <c r="K151" s="434"/>
      <c r="L151" s="434"/>
      <c r="M151" s="434"/>
      <c r="N151" s="434"/>
      <c r="O151" s="434"/>
      <c r="P151" s="434"/>
      <c r="Q151" s="434"/>
    </row>
    <row r="152" spans="9:17">
      <c r="I152" s="434"/>
      <c r="J152" s="434"/>
      <c r="K152" s="434"/>
      <c r="L152" s="434"/>
      <c r="M152" s="434"/>
      <c r="N152" s="434"/>
      <c r="O152" s="434"/>
      <c r="P152" s="434"/>
      <c r="Q152" s="434"/>
    </row>
    <row r="153" spans="9:17">
      <c r="I153" s="434"/>
      <c r="J153" s="434"/>
      <c r="K153" s="434"/>
      <c r="L153" s="434"/>
      <c r="M153" s="434"/>
      <c r="N153" s="434"/>
      <c r="O153" s="434"/>
      <c r="P153" s="434"/>
      <c r="Q153" s="434"/>
    </row>
    <row r="154" spans="9:17">
      <c r="I154" s="434"/>
      <c r="J154" s="434"/>
      <c r="K154" s="434"/>
      <c r="L154" s="434"/>
      <c r="M154" s="434"/>
      <c r="N154" s="434"/>
      <c r="O154" s="434"/>
      <c r="P154" s="434"/>
      <c r="Q154" s="434"/>
    </row>
    <row r="155" spans="9:17">
      <c r="I155" s="434"/>
      <c r="J155" s="434"/>
      <c r="K155" s="434"/>
      <c r="L155" s="434"/>
      <c r="M155" s="434"/>
      <c r="N155" s="434"/>
      <c r="O155" s="434"/>
      <c r="P155" s="434"/>
      <c r="Q155" s="434"/>
    </row>
    <row r="156" spans="9:17">
      <c r="I156" s="434"/>
      <c r="J156" s="434"/>
      <c r="K156" s="434"/>
      <c r="L156" s="434"/>
      <c r="M156" s="434"/>
      <c r="N156" s="434"/>
      <c r="O156" s="434"/>
      <c r="P156" s="434"/>
      <c r="Q156" s="434"/>
    </row>
    <row r="157" spans="9:17">
      <c r="I157" s="434"/>
      <c r="J157" s="434"/>
      <c r="K157" s="434"/>
      <c r="L157" s="434"/>
      <c r="M157" s="434"/>
      <c r="N157" s="434"/>
      <c r="O157" s="434"/>
      <c r="P157" s="434"/>
      <c r="Q157" s="434"/>
    </row>
    <row r="158" spans="9:17">
      <c r="I158" s="434"/>
      <c r="J158" s="434"/>
      <c r="K158" s="434"/>
      <c r="L158" s="434"/>
      <c r="M158" s="434"/>
      <c r="N158" s="434"/>
      <c r="O158" s="434"/>
      <c r="P158" s="434"/>
      <c r="Q158" s="434"/>
    </row>
    <row r="159" spans="9:17">
      <c r="I159" s="434"/>
      <c r="J159" s="434"/>
      <c r="K159" s="434"/>
      <c r="L159" s="434"/>
      <c r="M159" s="434"/>
      <c r="N159" s="434"/>
      <c r="O159" s="434"/>
      <c r="P159" s="434"/>
      <c r="Q159" s="434"/>
    </row>
    <row r="160" spans="9:17">
      <c r="I160" s="434"/>
      <c r="J160" s="434"/>
      <c r="K160" s="434"/>
      <c r="L160" s="434"/>
      <c r="M160" s="434"/>
      <c r="N160" s="434"/>
      <c r="O160" s="434"/>
      <c r="P160" s="434"/>
      <c r="Q160" s="434"/>
    </row>
    <row r="161" spans="9:17">
      <c r="I161" s="434"/>
      <c r="J161" s="434"/>
      <c r="K161" s="434"/>
      <c r="L161" s="434"/>
      <c r="M161" s="434"/>
      <c r="N161" s="434"/>
      <c r="O161" s="434"/>
      <c r="P161" s="434"/>
      <c r="Q161" s="434"/>
    </row>
    <row r="162" spans="9:17">
      <c r="I162" s="434"/>
      <c r="J162" s="434"/>
      <c r="K162" s="434"/>
      <c r="L162" s="434"/>
      <c r="M162" s="434"/>
      <c r="N162" s="434"/>
      <c r="O162" s="434"/>
      <c r="P162" s="434"/>
      <c r="Q162" s="434"/>
    </row>
    <row r="163" spans="9:17">
      <c r="I163" s="434"/>
      <c r="J163" s="434"/>
      <c r="K163" s="434"/>
      <c r="L163" s="434"/>
      <c r="M163" s="434"/>
      <c r="N163" s="434"/>
      <c r="O163" s="434"/>
      <c r="P163" s="434"/>
      <c r="Q163" s="434"/>
    </row>
    <row r="164" spans="9:17">
      <c r="I164" s="434"/>
      <c r="J164" s="434"/>
      <c r="K164" s="434"/>
      <c r="L164" s="434"/>
      <c r="M164" s="434"/>
      <c r="N164" s="434"/>
      <c r="O164" s="434"/>
      <c r="P164" s="434"/>
      <c r="Q164" s="434"/>
    </row>
    <row r="165" spans="9:17">
      <c r="I165" s="434"/>
      <c r="J165" s="434"/>
      <c r="K165" s="434"/>
      <c r="L165" s="434"/>
      <c r="M165" s="434"/>
      <c r="N165" s="434"/>
      <c r="O165" s="434"/>
      <c r="P165" s="434"/>
      <c r="Q165" s="434"/>
    </row>
    <row r="166" spans="9:17">
      <c r="I166" s="434"/>
      <c r="J166" s="434"/>
      <c r="K166" s="434"/>
      <c r="L166" s="434"/>
      <c r="M166" s="434"/>
      <c r="N166" s="434"/>
      <c r="O166" s="434"/>
      <c r="P166" s="434"/>
      <c r="Q166" s="434"/>
    </row>
    <row r="167" spans="9:17">
      <c r="I167" s="434"/>
      <c r="J167" s="434"/>
      <c r="K167" s="434"/>
      <c r="L167" s="434"/>
      <c r="M167" s="434"/>
      <c r="N167" s="434"/>
      <c r="O167" s="434"/>
      <c r="P167" s="434"/>
      <c r="Q167" s="434"/>
    </row>
    <row r="168" spans="9:17">
      <c r="I168" s="434"/>
      <c r="J168" s="434"/>
      <c r="K168" s="434"/>
      <c r="L168" s="434"/>
      <c r="M168" s="434"/>
      <c r="N168" s="434"/>
      <c r="O168" s="434"/>
      <c r="P168" s="434"/>
      <c r="Q168" s="434"/>
    </row>
    <row r="169" spans="9:17">
      <c r="I169" s="434"/>
      <c r="J169" s="434"/>
      <c r="K169" s="434"/>
      <c r="L169" s="434"/>
      <c r="M169" s="434"/>
      <c r="N169" s="434"/>
      <c r="O169" s="434"/>
      <c r="P169" s="434"/>
      <c r="Q169" s="434"/>
    </row>
    <row r="170" spans="9:17">
      <c r="I170" s="434"/>
      <c r="J170" s="434"/>
      <c r="K170" s="434"/>
      <c r="L170" s="434"/>
      <c r="M170" s="434"/>
      <c r="N170" s="434"/>
      <c r="O170" s="434"/>
      <c r="P170" s="434"/>
      <c r="Q170" s="434"/>
    </row>
    <row r="171" spans="9:17">
      <c r="I171" s="434"/>
      <c r="J171" s="434"/>
      <c r="K171" s="434"/>
      <c r="L171" s="434"/>
      <c r="M171" s="434"/>
      <c r="N171" s="434"/>
      <c r="O171" s="434"/>
      <c r="P171" s="434"/>
      <c r="Q171" s="434"/>
    </row>
    <row r="172" spans="9:17">
      <c r="I172" s="434"/>
      <c r="J172" s="434"/>
      <c r="K172" s="434"/>
      <c r="L172" s="434"/>
      <c r="M172" s="434"/>
      <c r="N172" s="434"/>
      <c r="O172" s="434"/>
      <c r="P172" s="434"/>
      <c r="Q172" s="434"/>
    </row>
    <row r="173" spans="9:17">
      <c r="I173" s="434"/>
      <c r="J173" s="434"/>
      <c r="K173" s="434"/>
      <c r="L173" s="434"/>
      <c r="M173" s="434"/>
      <c r="N173" s="434"/>
      <c r="O173" s="434"/>
      <c r="P173" s="434"/>
      <c r="Q173" s="434"/>
    </row>
    <row r="174" spans="9:17">
      <c r="I174" s="434"/>
      <c r="J174" s="434"/>
      <c r="K174" s="434"/>
      <c r="L174" s="434"/>
      <c r="M174" s="434"/>
      <c r="N174" s="434"/>
      <c r="O174" s="434"/>
      <c r="P174" s="434"/>
      <c r="Q174" s="434"/>
    </row>
    <row r="175" spans="9:17">
      <c r="I175" s="434"/>
      <c r="J175" s="434"/>
      <c r="K175" s="434"/>
      <c r="L175" s="434"/>
      <c r="M175" s="434"/>
      <c r="N175" s="434"/>
      <c r="O175" s="434"/>
      <c r="P175" s="434"/>
      <c r="Q175" s="434"/>
    </row>
    <row r="176" spans="9:17">
      <c r="I176" s="434"/>
      <c r="J176" s="434"/>
      <c r="K176" s="434"/>
      <c r="L176" s="434"/>
      <c r="M176" s="434"/>
      <c r="N176" s="434"/>
      <c r="O176" s="434"/>
      <c r="P176" s="434"/>
      <c r="Q176" s="434"/>
    </row>
    <row r="177" spans="9:17">
      <c r="I177" s="434"/>
      <c r="J177" s="434"/>
      <c r="K177" s="434"/>
      <c r="L177" s="434"/>
      <c r="M177" s="434"/>
      <c r="N177" s="434"/>
      <c r="O177" s="434"/>
      <c r="P177" s="434"/>
      <c r="Q177" s="434"/>
    </row>
    <row r="178" spans="9:17">
      <c r="I178" s="434"/>
      <c r="J178" s="434"/>
      <c r="K178" s="434"/>
      <c r="L178" s="434"/>
      <c r="M178" s="434"/>
      <c r="N178" s="434"/>
      <c r="O178" s="434"/>
      <c r="P178" s="434"/>
      <c r="Q178" s="434"/>
    </row>
    <row r="179" spans="9:17">
      <c r="I179" s="434"/>
      <c r="J179" s="434"/>
      <c r="K179" s="434"/>
      <c r="L179" s="434"/>
      <c r="M179" s="434"/>
      <c r="N179" s="434"/>
      <c r="O179" s="434"/>
      <c r="P179" s="434"/>
      <c r="Q179" s="434"/>
    </row>
    <row r="180" spans="9:17">
      <c r="I180" s="434"/>
      <c r="J180" s="434"/>
      <c r="K180" s="434"/>
      <c r="L180" s="434"/>
      <c r="M180" s="434"/>
      <c r="N180" s="434"/>
      <c r="O180" s="434"/>
      <c r="P180" s="434"/>
      <c r="Q180" s="434"/>
    </row>
    <row r="181" spans="9:17">
      <c r="I181" s="434"/>
      <c r="J181" s="434"/>
      <c r="K181" s="434"/>
      <c r="L181" s="434"/>
      <c r="M181" s="434"/>
      <c r="N181" s="434"/>
      <c r="O181" s="434"/>
      <c r="P181" s="434"/>
      <c r="Q181" s="434"/>
    </row>
    <row r="182" spans="9:17">
      <c r="I182" s="434"/>
      <c r="J182" s="434"/>
      <c r="K182" s="434"/>
      <c r="L182" s="434"/>
      <c r="M182" s="434"/>
      <c r="N182" s="434"/>
      <c r="O182" s="434"/>
      <c r="P182" s="434"/>
      <c r="Q182" s="434"/>
    </row>
    <row r="183" spans="9:17">
      <c r="I183" s="434"/>
      <c r="J183" s="434"/>
      <c r="K183" s="434"/>
      <c r="L183" s="434"/>
      <c r="M183" s="434"/>
      <c r="N183" s="434"/>
      <c r="O183" s="434"/>
      <c r="P183" s="434"/>
      <c r="Q183" s="434"/>
    </row>
    <row r="184" spans="9:17">
      <c r="I184" s="434"/>
      <c r="J184" s="434"/>
      <c r="K184" s="434"/>
      <c r="L184" s="434"/>
      <c r="M184" s="434"/>
      <c r="N184" s="434"/>
      <c r="O184" s="434"/>
      <c r="P184" s="434"/>
      <c r="Q184" s="434"/>
    </row>
    <row r="185" spans="9:17">
      <c r="I185" s="434"/>
      <c r="J185" s="434"/>
      <c r="K185" s="434"/>
      <c r="L185" s="434"/>
      <c r="M185" s="434"/>
      <c r="N185" s="434"/>
      <c r="O185" s="434"/>
      <c r="P185" s="434"/>
      <c r="Q185" s="434"/>
    </row>
    <row r="186" spans="9:17">
      <c r="I186" s="434"/>
      <c r="J186" s="434"/>
      <c r="K186" s="434"/>
      <c r="L186" s="434"/>
      <c r="M186" s="434"/>
      <c r="N186" s="434"/>
      <c r="O186" s="434"/>
      <c r="P186" s="434"/>
      <c r="Q186" s="434"/>
    </row>
    <row r="187" spans="9:17">
      <c r="I187" s="434"/>
      <c r="J187" s="434"/>
      <c r="K187" s="434"/>
      <c r="L187" s="434"/>
      <c r="M187" s="434"/>
      <c r="N187" s="434"/>
      <c r="O187" s="434"/>
      <c r="P187" s="434"/>
      <c r="Q187" s="434"/>
    </row>
    <row r="188" spans="9:17">
      <c r="I188" s="434"/>
      <c r="J188" s="434"/>
      <c r="K188" s="434"/>
      <c r="L188" s="434"/>
      <c r="M188" s="434"/>
      <c r="N188" s="434"/>
      <c r="O188" s="434"/>
      <c r="P188" s="434"/>
      <c r="Q188" s="434"/>
    </row>
    <row r="189" spans="9:17">
      <c r="I189" s="434"/>
      <c r="J189" s="434"/>
      <c r="K189" s="434"/>
      <c r="L189" s="434"/>
      <c r="M189" s="434"/>
      <c r="N189" s="434"/>
      <c r="O189" s="434"/>
      <c r="P189" s="434"/>
      <c r="Q189" s="434"/>
    </row>
    <row r="190" spans="9:17">
      <c r="I190" s="434"/>
      <c r="J190" s="434"/>
      <c r="K190" s="434"/>
      <c r="L190" s="434"/>
      <c r="M190" s="434"/>
      <c r="N190" s="434"/>
      <c r="O190" s="434"/>
      <c r="P190" s="434"/>
      <c r="Q190" s="434"/>
    </row>
    <row r="191" spans="9:17">
      <c r="I191" s="434"/>
      <c r="J191" s="434"/>
      <c r="K191" s="434"/>
      <c r="L191" s="434"/>
      <c r="M191" s="434"/>
      <c r="N191" s="434"/>
      <c r="O191" s="434"/>
      <c r="P191" s="434"/>
      <c r="Q191" s="434"/>
    </row>
    <row r="192" spans="9:17">
      <c r="I192" s="434"/>
      <c r="J192" s="434"/>
      <c r="K192" s="434"/>
      <c r="L192" s="434"/>
      <c r="M192" s="434"/>
      <c r="N192" s="434"/>
      <c r="O192" s="434"/>
      <c r="P192" s="434"/>
      <c r="Q192" s="434"/>
    </row>
    <row r="193" spans="9:17">
      <c r="I193" s="434"/>
      <c r="J193" s="434"/>
      <c r="K193" s="434"/>
      <c r="L193" s="434"/>
      <c r="M193" s="434"/>
      <c r="N193" s="434"/>
      <c r="O193" s="434"/>
      <c r="P193" s="434"/>
      <c r="Q193" s="434"/>
    </row>
    <row r="194" spans="9:17">
      <c r="I194" s="434"/>
      <c r="J194" s="434"/>
      <c r="K194" s="434"/>
      <c r="L194" s="434"/>
      <c r="M194" s="434"/>
      <c r="N194" s="434"/>
      <c r="O194" s="434"/>
      <c r="P194" s="434"/>
      <c r="Q194" s="434"/>
    </row>
    <row r="195" spans="9:17">
      <c r="I195" s="434"/>
      <c r="J195" s="434"/>
      <c r="K195" s="434"/>
      <c r="L195" s="434"/>
      <c r="M195" s="434"/>
      <c r="N195" s="434"/>
      <c r="O195" s="434"/>
      <c r="P195" s="434"/>
      <c r="Q195" s="434"/>
    </row>
    <row r="196" spans="9:17">
      <c r="I196" s="434"/>
      <c r="J196" s="434"/>
      <c r="K196" s="434"/>
      <c r="L196" s="434"/>
      <c r="M196" s="434"/>
      <c r="N196" s="434"/>
      <c r="O196" s="434"/>
      <c r="P196" s="434"/>
      <c r="Q196" s="434"/>
    </row>
    <row r="197" spans="9:17">
      <c r="I197" s="434"/>
      <c r="J197" s="434"/>
      <c r="K197" s="434"/>
      <c r="L197" s="434"/>
      <c r="M197" s="434"/>
      <c r="N197" s="434"/>
      <c r="O197" s="434"/>
      <c r="P197" s="434"/>
      <c r="Q197" s="434"/>
    </row>
    <row r="198" spans="9:17">
      <c r="I198" s="434"/>
      <c r="J198" s="434"/>
      <c r="K198" s="434"/>
      <c r="L198" s="434"/>
      <c r="M198" s="434"/>
      <c r="N198" s="434"/>
      <c r="O198" s="434"/>
      <c r="P198" s="434"/>
      <c r="Q198" s="434"/>
    </row>
    <row r="199" spans="9:17">
      <c r="I199" s="434"/>
      <c r="J199" s="434"/>
      <c r="K199" s="434"/>
      <c r="L199" s="434"/>
      <c r="M199" s="434"/>
      <c r="N199" s="434"/>
      <c r="O199" s="434"/>
      <c r="P199" s="434"/>
      <c r="Q199" s="434"/>
    </row>
    <row r="200" spans="9:17">
      <c r="I200" s="434"/>
      <c r="J200" s="434"/>
      <c r="K200" s="434"/>
      <c r="L200" s="434"/>
      <c r="M200" s="434"/>
      <c r="N200" s="434"/>
      <c r="O200" s="434"/>
      <c r="P200" s="434"/>
      <c r="Q200" s="434"/>
    </row>
    <row r="201" spans="9:17">
      <c r="I201" s="434"/>
      <c r="J201" s="434"/>
      <c r="K201" s="434"/>
      <c r="L201" s="434"/>
      <c r="M201" s="434"/>
      <c r="N201" s="434"/>
      <c r="O201" s="434"/>
      <c r="P201" s="434"/>
      <c r="Q201" s="434"/>
    </row>
    <row r="202" spans="9:17">
      <c r="I202" s="434"/>
      <c r="J202" s="434"/>
      <c r="K202" s="434"/>
      <c r="L202" s="434"/>
      <c r="M202" s="434"/>
      <c r="N202" s="434"/>
      <c r="O202" s="434"/>
      <c r="P202" s="434"/>
      <c r="Q202" s="434"/>
    </row>
    <row r="203" spans="9:17">
      <c r="I203" s="434"/>
      <c r="J203" s="434"/>
      <c r="K203" s="434"/>
      <c r="L203" s="434"/>
      <c r="M203" s="434"/>
      <c r="N203" s="434"/>
      <c r="O203" s="434"/>
      <c r="P203" s="434"/>
      <c r="Q203" s="434"/>
    </row>
    <row r="204" spans="9:17">
      <c r="I204" s="434"/>
      <c r="J204" s="434"/>
      <c r="K204" s="434"/>
      <c r="L204" s="434"/>
      <c r="M204" s="434"/>
      <c r="N204" s="434"/>
      <c r="O204" s="434"/>
      <c r="P204" s="434"/>
      <c r="Q204" s="434"/>
    </row>
    <row r="205" spans="9:17">
      <c r="I205" s="434"/>
      <c r="J205" s="434"/>
      <c r="K205" s="434"/>
      <c r="L205" s="434"/>
      <c r="M205" s="434"/>
      <c r="N205" s="434"/>
      <c r="O205" s="434"/>
      <c r="P205" s="434"/>
      <c r="Q205" s="434"/>
    </row>
    <row r="206" spans="9:17">
      <c r="I206" s="434"/>
      <c r="J206" s="434"/>
      <c r="K206" s="434"/>
      <c r="L206" s="434"/>
      <c r="M206" s="434"/>
      <c r="N206" s="434"/>
      <c r="O206" s="434"/>
      <c r="P206" s="434"/>
      <c r="Q206" s="434"/>
    </row>
    <row r="207" spans="9:17">
      <c r="I207" s="434"/>
      <c r="J207" s="434"/>
      <c r="K207" s="434"/>
      <c r="L207" s="434"/>
      <c r="M207" s="434"/>
      <c r="N207" s="434"/>
      <c r="O207" s="434"/>
      <c r="P207" s="434"/>
      <c r="Q207" s="434"/>
    </row>
    <row r="208" spans="9:17">
      <c r="I208" s="434"/>
      <c r="J208" s="434"/>
      <c r="K208" s="434"/>
      <c r="L208" s="434"/>
      <c r="M208" s="434"/>
      <c r="N208" s="434"/>
      <c r="O208" s="434"/>
      <c r="P208" s="434"/>
      <c r="Q208" s="434"/>
    </row>
    <row r="209" spans="9:17">
      <c r="I209" s="434"/>
      <c r="J209" s="434"/>
      <c r="K209" s="434"/>
      <c r="L209" s="434"/>
      <c r="M209" s="434"/>
      <c r="N209" s="434"/>
      <c r="O209" s="434"/>
      <c r="P209" s="434"/>
      <c r="Q209" s="434"/>
    </row>
    <row r="210" spans="9:17">
      <c r="I210" s="434"/>
      <c r="J210" s="434"/>
      <c r="K210" s="434"/>
      <c r="L210" s="434"/>
      <c r="M210" s="434"/>
      <c r="N210" s="434"/>
      <c r="O210" s="434"/>
      <c r="P210" s="434"/>
      <c r="Q210" s="434"/>
    </row>
    <row r="211" spans="9:17">
      <c r="I211" s="434"/>
      <c r="J211" s="434"/>
      <c r="K211" s="434"/>
      <c r="L211" s="434"/>
      <c r="M211" s="434"/>
      <c r="N211" s="434"/>
      <c r="O211" s="434"/>
      <c r="P211" s="434"/>
      <c r="Q211" s="434"/>
    </row>
    <row r="212" spans="9:17">
      <c r="I212" s="434"/>
      <c r="J212" s="434"/>
      <c r="K212" s="434"/>
      <c r="L212" s="434"/>
      <c r="M212" s="434"/>
      <c r="N212" s="434"/>
      <c r="O212" s="434"/>
      <c r="P212" s="434"/>
      <c r="Q212" s="434"/>
    </row>
    <row r="213" spans="9:17">
      <c r="I213" s="434"/>
      <c r="J213" s="434"/>
      <c r="K213" s="434"/>
      <c r="L213" s="434"/>
      <c r="M213" s="434"/>
      <c r="N213" s="434"/>
      <c r="O213" s="434"/>
      <c r="P213" s="434"/>
      <c r="Q213" s="434"/>
    </row>
    <row r="214" spans="9:17">
      <c r="I214" s="434"/>
      <c r="J214" s="434"/>
      <c r="K214" s="434"/>
      <c r="L214" s="434"/>
      <c r="M214" s="434"/>
      <c r="N214" s="434"/>
      <c r="O214" s="434"/>
      <c r="P214" s="434"/>
      <c r="Q214" s="434"/>
    </row>
    <row r="215" spans="9:17">
      <c r="I215" s="434"/>
      <c r="J215" s="434"/>
      <c r="K215" s="434"/>
      <c r="L215" s="434"/>
      <c r="M215" s="434"/>
      <c r="N215" s="434"/>
      <c r="O215" s="434"/>
      <c r="P215" s="434"/>
      <c r="Q215" s="434"/>
    </row>
    <row r="216" spans="9:17">
      <c r="I216" s="434"/>
      <c r="J216" s="434"/>
      <c r="K216" s="434"/>
      <c r="L216" s="434"/>
      <c r="M216" s="434"/>
      <c r="N216" s="434"/>
      <c r="O216" s="434"/>
      <c r="P216" s="434"/>
      <c r="Q216" s="434"/>
    </row>
    <row r="217" spans="9:17">
      <c r="I217" s="434"/>
      <c r="J217" s="434"/>
      <c r="K217" s="434"/>
      <c r="L217" s="434"/>
      <c r="M217" s="434"/>
      <c r="N217" s="434"/>
      <c r="O217" s="434"/>
      <c r="P217" s="434"/>
      <c r="Q217" s="434"/>
    </row>
    <row r="218" spans="9:17">
      <c r="I218" s="434"/>
      <c r="J218" s="434"/>
      <c r="K218" s="434"/>
      <c r="L218" s="434"/>
      <c r="M218" s="434"/>
      <c r="N218" s="434"/>
      <c r="O218" s="434"/>
      <c r="P218" s="434"/>
      <c r="Q218" s="434"/>
    </row>
    <row r="219" spans="9:17">
      <c r="I219" s="434"/>
      <c r="J219" s="434"/>
      <c r="K219" s="434"/>
      <c r="L219" s="434"/>
      <c r="M219" s="434"/>
      <c r="N219" s="434"/>
      <c r="O219" s="434"/>
      <c r="P219" s="434"/>
      <c r="Q219" s="434"/>
    </row>
    <row r="220" spans="9:17">
      <c r="I220" s="434"/>
      <c r="J220" s="434"/>
      <c r="K220" s="434"/>
      <c r="L220" s="434"/>
      <c r="M220" s="434"/>
      <c r="N220" s="434"/>
      <c r="O220" s="434"/>
      <c r="P220" s="434"/>
      <c r="Q220" s="434"/>
    </row>
    <row r="221" spans="9:17">
      <c r="I221" s="434"/>
      <c r="J221" s="434"/>
      <c r="K221" s="434"/>
      <c r="L221" s="434"/>
      <c r="M221" s="434"/>
      <c r="N221" s="434"/>
      <c r="O221" s="434"/>
      <c r="P221" s="434"/>
      <c r="Q221" s="434"/>
    </row>
    <row r="222" spans="9:17">
      <c r="I222" s="434"/>
      <c r="J222" s="434"/>
      <c r="K222" s="434"/>
      <c r="L222" s="434"/>
      <c r="M222" s="434"/>
      <c r="N222" s="434"/>
      <c r="O222" s="434"/>
      <c r="P222" s="434"/>
      <c r="Q222" s="434"/>
    </row>
    <row r="223" spans="9:17">
      <c r="I223" s="434"/>
      <c r="J223" s="434"/>
      <c r="K223" s="434"/>
      <c r="L223" s="434"/>
      <c r="M223" s="434"/>
      <c r="N223" s="434"/>
      <c r="O223" s="434"/>
      <c r="P223" s="434"/>
      <c r="Q223" s="434"/>
    </row>
    <row r="224" spans="9:17">
      <c r="I224" s="434"/>
      <c r="J224" s="434"/>
      <c r="K224" s="434"/>
      <c r="L224" s="434"/>
      <c r="M224" s="434"/>
      <c r="N224" s="434"/>
      <c r="O224" s="434"/>
      <c r="P224" s="434"/>
      <c r="Q224" s="434"/>
    </row>
    <row r="225" spans="9:17">
      <c r="I225" s="434"/>
      <c r="J225" s="434"/>
      <c r="K225" s="434"/>
      <c r="L225" s="434"/>
      <c r="M225" s="434"/>
      <c r="N225" s="434"/>
      <c r="O225" s="434"/>
      <c r="P225" s="434"/>
      <c r="Q225" s="434"/>
    </row>
    <row r="226" spans="9:17">
      <c r="I226" s="434"/>
      <c r="J226" s="434"/>
      <c r="K226" s="434"/>
      <c r="L226" s="434"/>
      <c r="M226" s="434"/>
      <c r="N226" s="434"/>
      <c r="O226" s="434"/>
      <c r="P226" s="434"/>
      <c r="Q226" s="434"/>
    </row>
    <row r="227" spans="9:17">
      <c r="I227" s="434"/>
      <c r="J227" s="434"/>
      <c r="K227" s="434"/>
      <c r="L227" s="434"/>
      <c r="M227" s="434"/>
      <c r="N227" s="434"/>
      <c r="O227" s="434"/>
      <c r="P227" s="434"/>
      <c r="Q227" s="434"/>
    </row>
    <row r="228" spans="9:17">
      <c r="I228" s="434"/>
      <c r="J228" s="434"/>
      <c r="K228" s="434"/>
      <c r="L228" s="434"/>
      <c r="M228" s="434"/>
      <c r="N228" s="434"/>
      <c r="O228" s="434"/>
      <c r="P228" s="434"/>
      <c r="Q228" s="434"/>
    </row>
    <row r="229" spans="9:17">
      <c r="I229" s="434"/>
      <c r="J229" s="434"/>
      <c r="K229" s="434"/>
      <c r="L229" s="434"/>
      <c r="M229" s="434"/>
      <c r="N229" s="434"/>
      <c r="O229" s="434"/>
      <c r="P229" s="434"/>
      <c r="Q229" s="434"/>
    </row>
    <row r="230" spans="9:17">
      <c r="I230" s="434"/>
      <c r="J230" s="434"/>
      <c r="K230" s="434"/>
      <c r="L230" s="434"/>
      <c r="M230" s="434"/>
      <c r="N230" s="434"/>
      <c r="O230" s="434"/>
      <c r="P230" s="434"/>
      <c r="Q230" s="434"/>
    </row>
    <row r="231" spans="9:17">
      <c r="I231" s="434"/>
      <c r="J231" s="434"/>
      <c r="K231" s="434"/>
      <c r="L231" s="434"/>
      <c r="M231" s="434"/>
      <c r="N231" s="434"/>
      <c r="O231" s="434"/>
      <c r="P231" s="434"/>
      <c r="Q231" s="434"/>
    </row>
    <row r="232" spans="9:17">
      <c r="I232" s="434"/>
      <c r="J232" s="434"/>
      <c r="K232" s="434"/>
      <c r="L232" s="434"/>
      <c r="M232" s="434"/>
      <c r="N232" s="434"/>
      <c r="O232" s="434"/>
      <c r="P232" s="434"/>
      <c r="Q232" s="434"/>
    </row>
    <row r="233" spans="9:17">
      <c r="I233" s="434"/>
      <c r="J233" s="434"/>
      <c r="K233" s="434"/>
      <c r="L233" s="434"/>
      <c r="M233" s="434"/>
      <c r="N233" s="434"/>
      <c r="O233" s="434"/>
      <c r="P233" s="434"/>
      <c r="Q233" s="434"/>
    </row>
    <row r="234" spans="9:17">
      <c r="I234" s="434"/>
      <c r="J234" s="434"/>
      <c r="K234" s="434"/>
      <c r="L234" s="434"/>
      <c r="M234" s="434"/>
      <c r="N234" s="434"/>
      <c r="O234" s="434"/>
      <c r="P234" s="434"/>
      <c r="Q234" s="434"/>
    </row>
    <row r="235" spans="9:17">
      <c r="I235" s="434"/>
      <c r="J235" s="434"/>
      <c r="K235" s="434"/>
      <c r="L235" s="434"/>
      <c r="M235" s="434"/>
      <c r="N235" s="434"/>
      <c r="O235" s="434"/>
      <c r="P235" s="434"/>
      <c r="Q235" s="434"/>
    </row>
    <row r="236" spans="9:17">
      <c r="I236" s="434"/>
      <c r="J236" s="434"/>
      <c r="K236" s="434"/>
      <c r="L236" s="434"/>
      <c r="M236" s="434"/>
      <c r="N236" s="434"/>
      <c r="O236" s="434"/>
      <c r="P236" s="434"/>
      <c r="Q236" s="434"/>
    </row>
    <row r="237" spans="9:17">
      <c r="I237" s="434"/>
      <c r="J237" s="434"/>
      <c r="K237" s="434"/>
      <c r="L237" s="434"/>
      <c r="M237" s="434"/>
      <c r="N237" s="434"/>
      <c r="O237" s="434"/>
      <c r="P237" s="434"/>
      <c r="Q237" s="434"/>
    </row>
    <row r="238" spans="9:17">
      <c r="I238" s="434"/>
      <c r="J238" s="434"/>
      <c r="K238" s="434"/>
      <c r="L238" s="434"/>
      <c r="M238" s="434"/>
      <c r="N238" s="434"/>
      <c r="O238" s="434"/>
      <c r="P238" s="434"/>
      <c r="Q238" s="434"/>
    </row>
    <row r="239" spans="9:17">
      <c r="I239" s="434"/>
      <c r="J239" s="434"/>
      <c r="K239" s="434"/>
      <c r="L239" s="434"/>
      <c r="M239" s="434"/>
      <c r="N239" s="434"/>
      <c r="O239" s="434"/>
      <c r="P239" s="434"/>
      <c r="Q239" s="434"/>
    </row>
    <row r="240" spans="9:17">
      <c r="I240" s="434"/>
      <c r="J240" s="434"/>
      <c r="K240" s="434"/>
      <c r="L240" s="434"/>
      <c r="M240" s="434"/>
      <c r="N240" s="434"/>
      <c r="O240" s="434"/>
      <c r="P240" s="434"/>
      <c r="Q240" s="434"/>
    </row>
    <row r="241" spans="9:17">
      <c r="I241" s="434"/>
      <c r="J241" s="434"/>
      <c r="K241" s="434"/>
      <c r="L241" s="434"/>
      <c r="M241" s="434"/>
      <c r="N241" s="434"/>
      <c r="O241" s="434"/>
      <c r="P241" s="434"/>
      <c r="Q241" s="434"/>
    </row>
    <row r="242" spans="9:17">
      <c r="I242" s="434"/>
      <c r="J242" s="434"/>
      <c r="K242" s="434"/>
      <c r="L242" s="434"/>
      <c r="M242" s="434"/>
      <c r="N242" s="434"/>
      <c r="O242" s="434"/>
      <c r="P242" s="434"/>
      <c r="Q242" s="434"/>
    </row>
    <row r="243" spans="9:17">
      <c r="I243" s="434"/>
      <c r="J243" s="434"/>
      <c r="K243" s="434"/>
      <c r="L243" s="434"/>
      <c r="M243" s="434"/>
      <c r="N243" s="434"/>
      <c r="O243" s="434"/>
      <c r="P243" s="434"/>
      <c r="Q243" s="434"/>
    </row>
    <row r="244" spans="9:17">
      <c r="I244" s="434"/>
      <c r="J244" s="434"/>
      <c r="K244" s="434"/>
      <c r="L244" s="434"/>
      <c r="M244" s="434"/>
      <c r="N244" s="434"/>
      <c r="O244" s="434"/>
      <c r="P244" s="434"/>
      <c r="Q244" s="434"/>
    </row>
    <row r="245" spans="9:17">
      <c r="I245" s="434"/>
      <c r="J245" s="434"/>
      <c r="K245" s="434"/>
      <c r="L245" s="434"/>
      <c r="M245" s="434"/>
      <c r="N245" s="434"/>
      <c r="O245" s="434"/>
      <c r="P245" s="434"/>
      <c r="Q245" s="434"/>
    </row>
    <row r="246" spans="9:17">
      <c r="I246" s="434"/>
      <c r="J246" s="434"/>
      <c r="K246" s="434"/>
      <c r="L246" s="434"/>
      <c r="M246" s="434"/>
      <c r="N246" s="434"/>
      <c r="O246" s="434"/>
      <c r="P246" s="434"/>
      <c r="Q246" s="434"/>
    </row>
    <row r="247" spans="9:17">
      <c r="I247" s="434"/>
      <c r="J247" s="434"/>
      <c r="K247" s="434"/>
      <c r="L247" s="434"/>
      <c r="M247" s="434"/>
      <c r="N247" s="434"/>
      <c r="O247" s="434"/>
      <c r="P247" s="434"/>
      <c r="Q247" s="434"/>
    </row>
    <row r="248" spans="9:17">
      <c r="I248" s="434"/>
      <c r="J248" s="434"/>
      <c r="K248" s="434"/>
      <c r="L248" s="434"/>
      <c r="M248" s="434"/>
      <c r="N248" s="434"/>
      <c r="O248" s="434"/>
      <c r="P248" s="434"/>
      <c r="Q248" s="434"/>
    </row>
    <row r="249" spans="9:17">
      <c r="I249" s="434"/>
      <c r="J249" s="434"/>
      <c r="K249" s="434"/>
      <c r="L249" s="434"/>
      <c r="M249" s="434"/>
      <c r="N249" s="434"/>
      <c r="O249" s="434"/>
      <c r="P249" s="434"/>
      <c r="Q249" s="434"/>
    </row>
    <row r="250" spans="9:17">
      <c r="I250" s="434"/>
      <c r="J250" s="434"/>
      <c r="K250" s="434"/>
      <c r="L250" s="434"/>
      <c r="M250" s="434"/>
      <c r="N250" s="434"/>
      <c r="O250" s="434"/>
      <c r="P250" s="434"/>
      <c r="Q250" s="434"/>
    </row>
    <row r="251" spans="9:17">
      <c r="I251" s="434"/>
      <c r="J251" s="434"/>
      <c r="K251" s="434"/>
      <c r="L251" s="434"/>
      <c r="M251" s="434"/>
      <c r="N251" s="434"/>
      <c r="O251" s="434"/>
      <c r="P251" s="434"/>
      <c r="Q251" s="434"/>
    </row>
    <row r="252" spans="9:17">
      <c r="I252" s="434"/>
      <c r="J252" s="434"/>
      <c r="K252" s="434"/>
      <c r="L252" s="434"/>
      <c r="M252" s="434"/>
      <c r="N252" s="434"/>
      <c r="O252" s="434"/>
      <c r="P252" s="434"/>
      <c r="Q252" s="434"/>
    </row>
    <row r="253" spans="9:17">
      <c r="I253" s="434"/>
      <c r="J253" s="434"/>
      <c r="K253" s="434"/>
      <c r="L253" s="434"/>
      <c r="M253" s="434"/>
      <c r="N253" s="434"/>
      <c r="O253" s="434"/>
      <c r="P253" s="434"/>
      <c r="Q253" s="434"/>
    </row>
    <row r="254" spans="9:17">
      <c r="I254" s="434"/>
      <c r="J254" s="434"/>
      <c r="K254" s="434"/>
      <c r="L254" s="434"/>
      <c r="M254" s="434"/>
      <c r="N254" s="434"/>
      <c r="O254" s="434"/>
      <c r="P254" s="434"/>
      <c r="Q254" s="434"/>
    </row>
    <row r="255" spans="9:17">
      <c r="I255" s="434"/>
      <c r="J255" s="434"/>
      <c r="K255" s="434"/>
      <c r="L255" s="434"/>
      <c r="M255" s="434"/>
      <c r="N255" s="434"/>
      <c r="O255" s="434"/>
      <c r="P255" s="434"/>
      <c r="Q255" s="434"/>
    </row>
    <row r="256" spans="9:17">
      <c r="I256" s="434"/>
      <c r="J256" s="434"/>
      <c r="K256" s="434"/>
      <c r="L256" s="434"/>
      <c r="M256" s="434"/>
      <c r="N256" s="434"/>
      <c r="O256" s="434"/>
      <c r="P256" s="434"/>
      <c r="Q256" s="434"/>
    </row>
    <row r="257" spans="9:17">
      <c r="I257" s="434"/>
      <c r="J257" s="434"/>
      <c r="K257" s="434"/>
      <c r="L257" s="434"/>
      <c r="M257" s="434"/>
      <c r="N257" s="434"/>
      <c r="O257" s="434"/>
      <c r="P257" s="434"/>
      <c r="Q257" s="434"/>
    </row>
    <row r="258" spans="9:17">
      <c r="I258" s="434"/>
      <c r="J258" s="434"/>
      <c r="K258" s="434"/>
      <c r="L258" s="434"/>
      <c r="M258" s="434"/>
      <c r="N258" s="434"/>
      <c r="O258" s="434"/>
      <c r="P258" s="434"/>
      <c r="Q258" s="434"/>
    </row>
    <row r="259" spans="9:17">
      <c r="I259" s="434"/>
      <c r="J259" s="434"/>
      <c r="K259" s="434"/>
      <c r="L259" s="434"/>
      <c r="M259" s="434"/>
      <c r="N259" s="434"/>
      <c r="O259" s="434"/>
      <c r="P259" s="434"/>
      <c r="Q259" s="434"/>
    </row>
    <row r="260" spans="9:17">
      <c r="I260" s="434"/>
      <c r="J260" s="434"/>
      <c r="K260" s="434"/>
      <c r="L260" s="434"/>
      <c r="M260" s="434"/>
      <c r="N260" s="434"/>
      <c r="O260" s="434"/>
      <c r="P260" s="434"/>
      <c r="Q260" s="434"/>
    </row>
    <row r="261" spans="9:17">
      <c r="I261" s="434"/>
      <c r="J261" s="434"/>
      <c r="K261" s="434"/>
      <c r="L261" s="434"/>
      <c r="M261" s="434"/>
      <c r="N261" s="434"/>
      <c r="O261" s="434"/>
      <c r="P261" s="434"/>
      <c r="Q261" s="434"/>
    </row>
    <row r="262" spans="9:17">
      <c r="I262" s="434"/>
      <c r="J262" s="434"/>
      <c r="K262" s="434"/>
      <c r="L262" s="434"/>
      <c r="M262" s="434"/>
      <c r="N262" s="434"/>
      <c r="O262" s="434"/>
      <c r="P262" s="434"/>
      <c r="Q262" s="434"/>
    </row>
    <row r="263" spans="9:17">
      <c r="I263" s="434"/>
      <c r="J263" s="434"/>
      <c r="K263" s="434"/>
      <c r="L263" s="434"/>
      <c r="M263" s="434"/>
      <c r="N263" s="434"/>
      <c r="O263" s="434"/>
      <c r="P263" s="434"/>
      <c r="Q263" s="434"/>
    </row>
    <row r="264" spans="9:17">
      <c r="I264" s="434"/>
      <c r="J264" s="434"/>
      <c r="K264" s="434"/>
      <c r="L264" s="434"/>
      <c r="M264" s="434"/>
      <c r="N264" s="434"/>
      <c r="O264" s="434"/>
      <c r="P264" s="434"/>
      <c r="Q264" s="434"/>
    </row>
    <row r="265" spans="9:17">
      <c r="I265" s="434"/>
      <c r="J265" s="434"/>
      <c r="K265" s="434"/>
      <c r="L265" s="434"/>
      <c r="M265" s="434"/>
      <c r="N265" s="434"/>
      <c r="O265" s="434"/>
      <c r="P265" s="434"/>
      <c r="Q265" s="434"/>
    </row>
    <row r="266" spans="9:17">
      <c r="I266" s="434"/>
      <c r="J266" s="434"/>
      <c r="K266" s="434"/>
      <c r="L266" s="434"/>
      <c r="M266" s="434"/>
      <c r="N266" s="434"/>
      <c r="O266" s="434"/>
      <c r="P266" s="434"/>
      <c r="Q266" s="434"/>
    </row>
    <row r="267" spans="9:17">
      <c r="I267" s="434"/>
      <c r="J267" s="434"/>
      <c r="K267" s="434"/>
      <c r="L267" s="434"/>
      <c r="M267" s="434"/>
      <c r="N267" s="434"/>
      <c r="O267" s="434"/>
      <c r="P267" s="434"/>
      <c r="Q267" s="434"/>
    </row>
    <row r="268" spans="9:17">
      <c r="I268" s="434"/>
      <c r="J268" s="434"/>
      <c r="K268" s="434"/>
      <c r="L268" s="434"/>
      <c r="M268" s="434"/>
      <c r="N268" s="434"/>
      <c r="O268" s="434"/>
      <c r="P268" s="434"/>
      <c r="Q268" s="434"/>
    </row>
    <row r="269" spans="9:17">
      <c r="I269" s="434"/>
      <c r="J269" s="434"/>
      <c r="K269" s="434"/>
      <c r="L269" s="434"/>
      <c r="M269" s="434"/>
      <c r="N269" s="434"/>
      <c r="O269" s="434"/>
      <c r="P269" s="434"/>
      <c r="Q269" s="434"/>
    </row>
    <row r="270" spans="9:17">
      <c r="I270" s="434"/>
      <c r="J270" s="434"/>
      <c r="K270" s="434"/>
      <c r="L270" s="434"/>
      <c r="M270" s="434"/>
      <c r="N270" s="434"/>
      <c r="O270" s="434"/>
      <c r="P270" s="434"/>
      <c r="Q270" s="434"/>
    </row>
    <row r="271" spans="9:17">
      <c r="I271" s="434"/>
      <c r="J271" s="434"/>
      <c r="K271" s="434"/>
      <c r="L271" s="434"/>
      <c r="M271" s="434"/>
      <c r="N271" s="434"/>
      <c r="O271" s="434"/>
      <c r="P271" s="434"/>
      <c r="Q271" s="434"/>
    </row>
    <row r="272" spans="9:17">
      <c r="I272" s="434"/>
      <c r="J272" s="434"/>
      <c r="K272" s="434"/>
      <c r="L272" s="434"/>
      <c r="M272" s="434"/>
      <c r="N272" s="434"/>
      <c r="O272" s="434"/>
      <c r="P272" s="434"/>
      <c r="Q272" s="434"/>
    </row>
    <row r="273" spans="9:17">
      <c r="I273" s="434"/>
      <c r="J273" s="434"/>
      <c r="K273" s="434"/>
      <c r="L273" s="434"/>
      <c r="M273" s="434"/>
      <c r="N273" s="434"/>
      <c r="O273" s="434"/>
      <c r="P273" s="434"/>
      <c r="Q273" s="434"/>
    </row>
    <row r="274" spans="9:17">
      <c r="I274" s="434"/>
      <c r="J274" s="434"/>
      <c r="K274" s="434"/>
      <c r="L274" s="434"/>
      <c r="M274" s="434"/>
      <c r="N274" s="434"/>
      <c r="O274" s="434"/>
      <c r="P274" s="434"/>
      <c r="Q274" s="434"/>
    </row>
    <row r="275" spans="9:17">
      <c r="I275" s="434"/>
      <c r="J275" s="434"/>
      <c r="K275" s="434"/>
      <c r="L275" s="434"/>
      <c r="M275" s="434"/>
      <c r="N275" s="434"/>
      <c r="O275" s="434"/>
      <c r="P275" s="434"/>
      <c r="Q275" s="434"/>
    </row>
    <row r="276" spans="9:17">
      <c r="I276" s="434"/>
      <c r="J276" s="434"/>
      <c r="K276" s="434"/>
      <c r="L276" s="434"/>
      <c r="M276" s="434"/>
      <c r="N276" s="434"/>
      <c r="O276" s="434"/>
      <c r="P276" s="434"/>
      <c r="Q276" s="434"/>
    </row>
    <row r="277" spans="9:17">
      <c r="I277" s="434"/>
      <c r="J277" s="434"/>
      <c r="K277" s="434"/>
      <c r="L277" s="434"/>
      <c r="M277" s="434"/>
      <c r="N277" s="434"/>
      <c r="O277" s="434"/>
      <c r="P277" s="434"/>
      <c r="Q277" s="434"/>
    </row>
    <row r="278" spans="9:17">
      <c r="I278" s="434"/>
      <c r="J278" s="434"/>
      <c r="K278" s="434"/>
      <c r="L278" s="434"/>
      <c r="M278" s="434"/>
      <c r="N278" s="434"/>
      <c r="O278" s="434"/>
      <c r="P278" s="434"/>
      <c r="Q278" s="434"/>
    </row>
    <row r="279" spans="9:17">
      <c r="I279" s="434"/>
      <c r="J279" s="434"/>
      <c r="K279" s="434"/>
      <c r="L279" s="434"/>
      <c r="M279" s="434"/>
      <c r="N279" s="434"/>
      <c r="O279" s="434"/>
      <c r="P279" s="434"/>
      <c r="Q279" s="434"/>
    </row>
    <row r="280" spans="9:17">
      <c r="I280" s="434"/>
      <c r="J280" s="434"/>
      <c r="K280" s="434"/>
      <c r="L280" s="434"/>
      <c r="M280" s="434"/>
      <c r="N280" s="434"/>
      <c r="O280" s="434"/>
      <c r="P280" s="434"/>
      <c r="Q280" s="434"/>
    </row>
    <row r="281" spans="9:17">
      <c r="I281" s="434"/>
      <c r="J281" s="434"/>
      <c r="K281" s="434"/>
      <c r="L281" s="434"/>
      <c r="M281" s="434"/>
      <c r="N281" s="434"/>
      <c r="O281" s="434"/>
      <c r="P281" s="434"/>
      <c r="Q281" s="434"/>
    </row>
    <row r="282" spans="9:17">
      <c r="I282" s="434"/>
      <c r="J282" s="434"/>
      <c r="K282" s="434"/>
      <c r="L282" s="434"/>
      <c r="M282" s="434"/>
      <c r="N282" s="434"/>
      <c r="O282" s="434"/>
      <c r="P282" s="434"/>
      <c r="Q282" s="434"/>
    </row>
    <row r="283" spans="9:17">
      <c r="I283" s="434"/>
      <c r="J283" s="434"/>
      <c r="K283" s="434"/>
      <c r="L283" s="434"/>
      <c r="M283" s="434"/>
      <c r="N283" s="434"/>
      <c r="O283" s="434"/>
      <c r="P283" s="434"/>
      <c r="Q283" s="434"/>
    </row>
    <row r="284" spans="9:17">
      <c r="I284" s="434"/>
      <c r="J284" s="434"/>
      <c r="K284" s="434"/>
      <c r="L284" s="434"/>
      <c r="M284" s="434"/>
      <c r="N284" s="434"/>
      <c r="O284" s="434"/>
      <c r="P284" s="434"/>
      <c r="Q284" s="434"/>
    </row>
    <row r="285" spans="9:17">
      <c r="I285" s="434"/>
      <c r="J285" s="434"/>
      <c r="K285" s="434"/>
      <c r="L285" s="434"/>
      <c r="M285" s="434"/>
      <c r="N285" s="434"/>
      <c r="O285" s="434"/>
      <c r="P285" s="434"/>
      <c r="Q285" s="434"/>
    </row>
    <row r="286" spans="9:17">
      <c r="I286" s="434"/>
      <c r="J286" s="434"/>
      <c r="K286" s="434"/>
      <c r="L286" s="434"/>
      <c r="M286" s="434"/>
      <c r="N286" s="434"/>
      <c r="O286" s="434"/>
      <c r="P286" s="434"/>
      <c r="Q286" s="434"/>
    </row>
    <row r="287" spans="9:17">
      <c r="I287" s="434"/>
      <c r="J287" s="434"/>
      <c r="K287" s="434"/>
      <c r="L287" s="434"/>
      <c r="M287" s="434"/>
      <c r="N287" s="434"/>
      <c r="O287" s="434"/>
      <c r="P287" s="434"/>
      <c r="Q287" s="434"/>
    </row>
    <row r="288" spans="9:17">
      <c r="I288" s="434"/>
      <c r="J288" s="434"/>
      <c r="K288" s="434"/>
      <c r="L288" s="434"/>
      <c r="M288" s="434"/>
      <c r="N288" s="434"/>
      <c r="O288" s="434"/>
      <c r="P288" s="434"/>
      <c r="Q288" s="434"/>
    </row>
    <row r="289" spans="9:17">
      <c r="I289" s="434"/>
      <c r="J289" s="434"/>
      <c r="K289" s="434"/>
      <c r="L289" s="434"/>
      <c r="M289" s="434"/>
      <c r="N289" s="434"/>
      <c r="O289" s="434"/>
      <c r="P289" s="434"/>
      <c r="Q289" s="434"/>
    </row>
  </sheetData>
  <protectedRanges>
    <protectedRange sqref="N10" name="Range5_1"/>
  </protectedRanges>
  <mergeCells count="144">
    <mergeCell ref="B48:B49"/>
    <mergeCell ref="C48:C49"/>
    <mergeCell ref="A50:A51"/>
    <mergeCell ref="B50:B51"/>
    <mergeCell ref="C50:C51"/>
    <mergeCell ref="G33:G34"/>
    <mergeCell ref="H33:H34"/>
    <mergeCell ref="A18:G18"/>
    <mergeCell ref="H29:H30"/>
    <mergeCell ref="C29:C30"/>
    <mergeCell ref="G31:G32"/>
    <mergeCell ref="H31:H32"/>
    <mergeCell ref="A39:G39"/>
    <mergeCell ref="A48:A49"/>
    <mergeCell ref="E31:E32"/>
    <mergeCell ref="F31:F32"/>
    <mergeCell ref="A29:A30"/>
    <mergeCell ref="B29:B30"/>
    <mergeCell ref="A33:A34"/>
    <mergeCell ref="B33:B34"/>
    <mergeCell ref="C33:C34"/>
    <mergeCell ref="D33:D34"/>
    <mergeCell ref="E33:E34"/>
    <mergeCell ref="F33:F34"/>
    <mergeCell ref="A60:G60"/>
    <mergeCell ref="A52:A53"/>
    <mergeCell ref="B52:B53"/>
    <mergeCell ref="C52:C53"/>
    <mergeCell ref="D52:D53"/>
    <mergeCell ref="E52:E53"/>
    <mergeCell ref="F52:F53"/>
    <mergeCell ref="G52:G53"/>
    <mergeCell ref="G56:G57"/>
    <mergeCell ref="A56:A57"/>
    <mergeCell ref="B56:B57"/>
    <mergeCell ref="C56:C57"/>
    <mergeCell ref="A54:A55"/>
    <mergeCell ref="B54:B55"/>
    <mergeCell ref="C54:C55"/>
    <mergeCell ref="H10:H11"/>
    <mergeCell ref="E12:E13"/>
    <mergeCell ref="G12:G13"/>
    <mergeCell ref="B8:B9"/>
    <mergeCell ref="A35:A36"/>
    <mergeCell ref="B35:B36"/>
    <mergeCell ref="C35:C36"/>
    <mergeCell ref="D35:D36"/>
    <mergeCell ref="E35:E36"/>
    <mergeCell ref="F35:F36"/>
    <mergeCell ref="G29:G30"/>
    <mergeCell ref="A25:A26"/>
    <mergeCell ref="B25:B26"/>
    <mergeCell ref="C25:C26"/>
    <mergeCell ref="D25:D26"/>
    <mergeCell ref="A27:A28"/>
    <mergeCell ref="B27:B28"/>
    <mergeCell ref="C27:C28"/>
    <mergeCell ref="D27:D28"/>
    <mergeCell ref="E27:E28"/>
    <mergeCell ref="A31:A32"/>
    <mergeCell ref="B31:B32"/>
    <mergeCell ref="C31:C32"/>
    <mergeCell ref="D31:D32"/>
    <mergeCell ref="H27:H28"/>
    <mergeCell ref="C14:C15"/>
    <mergeCell ref="H14:H15"/>
    <mergeCell ref="B46:B47"/>
    <mergeCell ref="A1:H1"/>
    <mergeCell ref="A4:A5"/>
    <mergeCell ref="B4:B5"/>
    <mergeCell ref="C4:C5"/>
    <mergeCell ref="D4:D5"/>
    <mergeCell ref="A22:H22"/>
    <mergeCell ref="E6:E7"/>
    <mergeCell ref="F6:F7"/>
    <mergeCell ref="G6:G7"/>
    <mergeCell ref="H6:H7"/>
    <mergeCell ref="H12:H13"/>
    <mergeCell ref="C6:C7"/>
    <mergeCell ref="D6:D7"/>
    <mergeCell ref="A10:A11"/>
    <mergeCell ref="B10:B11"/>
    <mergeCell ref="C10:C11"/>
    <mergeCell ref="D10:D11"/>
    <mergeCell ref="E10:E11"/>
    <mergeCell ref="F10:F11"/>
    <mergeCell ref="G10:G11"/>
    <mergeCell ref="A6:A7"/>
    <mergeCell ref="A8:A9"/>
    <mergeCell ref="D8:D9"/>
    <mergeCell ref="A12:A13"/>
    <mergeCell ref="A14:A15"/>
    <mergeCell ref="B14:B15"/>
    <mergeCell ref="D14:D15"/>
    <mergeCell ref="B12:B13"/>
    <mergeCell ref="B6:B7"/>
    <mergeCell ref="C12:C13"/>
    <mergeCell ref="D12:D13"/>
    <mergeCell ref="C8:C9"/>
    <mergeCell ref="E4:G4"/>
    <mergeCell ref="H4:H5"/>
    <mergeCell ref="E14:E15"/>
    <mergeCell ref="F14:F15"/>
    <mergeCell ref="G14:G15"/>
    <mergeCell ref="F12:F13"/>
    <mergeCell ref="C46:C47"/>
    <mergeCell ref="D46:D47"/>
    <mergeCell ref="E46:G46"/>
    <mergeCell ref="E8:E9"/>
    <mergeCell ref="F8:F9"/>
    <mergeCell ref="G8:G9"/>
    <mergeCell ref="H8:H9"/>
    <mergeCell ref="D29:D30"/>
    <mergeCell ref="E29:E30"/>
    <mergeCell ref="F29:F30"/>
    <mergeCell ref="E25:G25"/>
    <mergeCell ref="H25:H26"/>
    <mergeCell ref="G35:G36"/>
    <mergeCell ref="H35:H36"/>
    <mergeCell ref="A43:H43"/>
    <mergeCell ref="A46:A47"/>
    <mergeCell ref="F27:F28"/>
    <mergeCell ref="G27:G28"/>
    <mergeCell ref="H56:H57"/>
    <mergeCell ref="G50:G51"/>
    <mergeCell ref="H50:H51"/>
    <mergeCell ref="H46:H47"/>
    <mergeCell ref="D48:D49"/>
    <mergeCell ref="E48:E49"/>
    <mergeCell ref="H48:H49"/>
    <mergeCell ref="H54:H55"/>
    <mergeCell ref="G54:G55"/>
    <mergeCell ref="F48:F49"/>
    <mergeCell ref="G48:G49"/>
    <mergeCell ref="H52:H53"/>
    <mergeCell ref="D56:D57"/>
    <mergeCell ref="E56:E57"/>
    <mergeCell ref="F56:F57"/>
    <mergeCell ref="D54:D55"/>
    <mergeCell ref="E54:E55"/>
    <mergeCell ref="F54:F55"/>
    <mergeCell ref="D50:D51"/>
    <mergeCell ref="E50:E51"/>
    <mergeCell ref="F50:F51"/>
  </mergeCells>
  <printOptions horizontalCentered="1"/>
  <pageMargins left="0.51181102362204722" right="0.51181102362204722" top="0.78740157480314965" bottom="0.98425196850393704" header="0.51181102362204722" footer="0.51181102362204722"/>
  <pageSetup paperSize="9" scale="93" orientation="portrait" blackAndWhite="1" r:id="rId1"/>
  <headerFooter alignWithMargins="0"/>
  <rowBreaks count="5" manualBreakCount="5">
    <brk id="21" max="7" man="1"/>
    <brk id="42" max="9" man="1"/>
    <brk id="64" max="9" man="1"/>
    <brk id="84" max="9" man="1"/>
    <brk id="104" max="9" man="1"/>
  </rowBreaks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C000"/>
  </sheetPr>
  <dimension ref="A1:AH354"/>
  <sheetViews>
    <sheetView showZeros="0" zoomScale="110" zoomScaleNormal="110" zoomScaleSheetLayoutView="100" workbookViewId="0">
      <selection activeCell="M6" sqref="M6"/>
    </sheetView>
  </sheetViews>
  <sheetFormatPr defaultColWidth="9.140625" defaultRowHeight="18.75"/>
  <cols>
    <col min="1" max="1" width="2.7109375" style="352" customWidth="1"/>
    <col min="2" max="2" width="7" style="352" customWidth="1"/>
    <col min="3" max="3" width="5.7109375" style="352" customWidth="1"/>
    <col min="4" max="4" width="6.42578125" style="352" customWidth="1"/>
    <col min="5" max="5" width="6" style="352" customWidth="1"/>
    <col min="6" max="6" width="6.85546875" style="352" customWidth="1"/>
    <col min="7" max="7" width="6.7109375" style="352" customWidth="1"/>
    <col min="8" max="8" width="11.42578125" style="352" customWidth="1"/>
    <col min="9" max="9" width="7" style="352" customWidth="1"/>
    <col min="10" max="10" width="9" style="352" customWidth="1"/>
    <col min="11" max="11" width="5.7109375" style="352" customWidth="1"/>
    <col min="12" max="12" width="4" style="352" customWidth="1"/>
    <col min="13" max="13" width="8.85546875" style="352" customWidth="1"/>
    <col min="14" max="14" width="13.85546875" style="352" customWidth="1"/>
    <col min="15" max="15" width="3.28515625" style="352" customWidth="1"/>
    <col min="16" max="16" width="14.7109375" style="352" customWidth="1"/>
    <col min="17" max="17" width="8.5703125" style="352" customWidth="1"/>
    <col min="18" max="18" width="9.7109375" style="352" customWidth="1"/>
    <col min="19" max="19" width="10.85546875" style="352" bestFit="1" customWidth="1"/>
    <col min="20" max="20" width="6.7109375" style="352" customWidth="1"/>
    <col min="21" max="21" width="7.7109375" style="352" bestFit="1" customWidth="1"/>
    <col min="22" max="22" width="5.7109375" style="352" customWidth="1"/>
    <col min="23" max="23" width="2.42578125" style="352" bestFit="1" customWidth="1"/>
    <col min="24" max="24" width="8.140625" style="352" bestFit="1" customWidth="1"/>
    <col min="25" max="25" width="14.140625" style="352" customWidth="1"/>
    <col min="26" max="26" width="9" style="352" bestFit="1" customWidth="1"/>
    <col min="27" max="27" width="7.85546875" style="352" bestFit="1" customWidth="1"/>
    <col min="28" max="28" width="14.28515625" style="352" customWidth="1"/>
    <col min="29" max="29" width="5.140625" style="352" customWidth="1"/>
    <col min="30" max="30" width="4.7109375" style="352" customWidth="1"/>
    <col min="31" max="31" width="6" style="352" bestFit="1" customWidth="1"/>
    <col min="32" max="32" width="10.28515625" style="352" bestFit="1" customWidth="1"/>
    <col min="33" max="34" width="9.140625" style="352"/>
    <col min="35" max="35" width="34" style="352" bestFit="1" customWidth="1"/>
    <col min="36" max="42" width="9.140625" style="352"/>
    <col min="43" max="43" width="13.140625" style="352" customWidth="1"/>
    <col min="44" max="49" width="9.140625" style="352"/>
    <col min="50" max="50" width="13.28515625" style="352" bestFit="1" customWidth="1"/>
    <col min="51" max="51" width="12.42578125" style="352" bestFit="1" customWidth="1"/>
    <col min="52" max="52" width="12.7109375" style="352" bestFit="1" customWidth="1"/>
    <col min="53" max="54" width="14.28515625" style="352" bestFit="1" customWidth="1"/>
    <col min="55" max="55" width="20.85546875" style="352" bestFit="1" customWidth="1"/>
    <col min="56" max="16384" width="9.140625" style="352"/>
  </cols>
  <sheetData>
    <row r="1" spans="1:28" s="270" customFormat="1" ht="27.75">
      <c r="A1" s="465"/>
      <c r="B1" s="466"/>
      <c r="C1" s="467"/>
      <c r="D1" s="468" t="s">
        <v>399</v>
      </c>
      <c r="E1" s="469"/>
      <c r="F1" s="470"/>
      <c r="G1" s="471"/>
      <c r="H1" s="472"/>
      <c r="I1" s="473"/>
      <c r="J1" s="474"/>
      <c r="K1" s="475"/>
      <c r="L1" s="476"/>
      <c r="M1" s="477"/>
      <c r="N1" s="478"/>
      <c r="O1" s="479"/>
      <c r="R1" s="480"/>
    </row>
    <row r="2" spans="1:28" s="270" customFormat="1" ht="21.75" customHeight="1">
      <c r="A2" s="465"/>
      <c r="B2" s="466"/>
      <c r="C2" s="472"/>
      <c r="D2" s="2712" t="s">
        <v>400</v>
      </c>
      <c r="E2" s="2712"/>
      <c r="F2" s="2712"/>
      <c r="G2" s="481" t="s">
        <v>2046</v>
      </c>
      <c r="H2" s="481"/>
      <c r="I2" s="481"/>
      <c r="J2" s="482"/>
      <c r="K2" s="482"/>
      <c r="L2" s="482"/>
      <c r="M2" s="2713">
        <v>42298</v>
      </c>
      <c r="N2" s="2713"/>
      <c r="O2" s="2713"/>
      <c r="R2" s="480"/>
    </row>
    <row r="3" spans="1:28" ht="24">
      <c r="B3" s="2714" t="s">
        <v>2053</v>
      </c>
      <c r="C3" s="2714"/>
      <c r="D3" s="2714"/>
      <c r="E3" s="2714"/>
      <c r="F3" s="2714"/>
      <c r="G3" s="2714"/>
      <c r="H3" s="2714"/>
      <c r="I3" s="2714"/>
      <c r="J3" s="2714"/>
      <c r="K3" s="2714"/>
      <c r="L3" s="2714"/>
      <c r="M3" s="2714"/>
      <c r="N3" s="2714"/>
      <c r="O3" s="353"/>
      <c r="P3" s="354" t="s">
        <v>530</v>
      </c>
      <c r="AB3" s="353"/>
    </row>
    <row r="4" spans="1:28" s="363" customFormat="1" ht="24">
      <c r="A4" s="355"/>
      <c r="B4" s="2715" t="s">
        <v>1864</v>
      </c>
      <c r="C4" s="2715"/>
      <c r="D4" s="2715"/>
      <c r="E4" s="2715"/>
      <c r="F4" s="2715"/>
      <c r="G4" s="2715"/>
      <c r="H4" s="2715"/>
      <c r="I4" s="2715"/>
      <c r="J4" s="2715"/>
      <c r="K4" s="2715"/>
      <c r="L4" s="2715"/>
      <c r="M4" s="2715"/>
      <c r="N4" s="2715"/>
      <c r="O4" s="353"/>
      <c r="P4" s="2277" t="str">
        <f>+IF(แหล่งวัสดุ!L10&lt;แหล่งวัสดุ!L16,แหล่งวัสดุ!B10,แหล่งวัสดุ!B16)</f>
        <v>บ.เนียง อ.เมือง จ.ยะลา</v>
      </c>
      <c r="Q4" s="2278"/>
      <c r="R4" s="2279" t="s">
        <v>528</v>
      </c>
      <c r="S4" s="2280">
        <f>+IF(แหล่งวัสดุ!L10&lt;แหล่งวัสดุ!L16,แหล่งวัสดุ!F10,แหล่งวัสดุ!F16)</f>
        <v>373.83</v>
      </c>
      <c r="T4" s="2281" t="s">
        <v>3</v>
      </c>
      <c r="U4" s="2282" t="s">
        <v>4</v>
      </c>
      <c r="V4" s="2283">
        <f>+IF(แหล่งวัสดุ!L10&lt;แหล่งวัสดุ!L16,แหล่งวัสดุ!H10,แหล่งวัสดุ!H16)</f>
        <v>78</v>
      </c>
      <c r="W4" s="2284" t="s">
        <v>5</v>
      </c>
      <c r="X4" s="2285">
        <f>IF(แหล่งวัสดุ!L$23=1,IF(V4&lt;=200,VLOOKUP(V4,'S2'!B$5:'S2'!F$204,3),IF(V4&gt;200,(V4-200)*'S2'!D$205+'S2'!D$204)),IF(แหล่งวัสดุ!L$23=2,IF(V4&lt;=200,VLOOKUP(V4,'S2'!B$5:'S2'!F$204,5),IF(V4&gt;200,(V4-200)*'S2'!F$205+'S2'!F$204))))</f>
        <v>151.05000000000001</v>
      </c>
      <c r="Y4" s="2286" t="s">
        <v>529</v>
      </c>
      <c r="Z4" s="2287">
        <f>+X4+S4</f>
        <v>524.88</v>
      </c>
      <c r="AA4" s="2288" t="s">
        <v>3</v>
      </c>
      <c r="AB4" s="353"/>
    </row>
    <row r="5" spans="1:28" s="363" customFormat="1" ht="17.25" customHeight="1">
      <c r="A5" s="352"/>
      <c r="B5" s="205"/>
      <c r="C5" s="205"/>
      <c r="D5" s="205"/>
      <c r="E5" s="205"/>
      <c r="F5" s="205"/>
      <c r="G5" s="205"/>
      <c r="H5" s="205"/>
      <c r="J5" s="364" t="str">
        <f>+ราคากลาง!H3</f>
        <v>วันที่ 10  พฤศจิกายน พ.ศ. 2558</v>
      </c>
      <c r="K5" s="364"/>
      <c r="L5" s="364"/>
      <c r="M5" s="364"/>
      <c r="N5" s="352"/>
      <c r="O5" s="353"/>
      <c r="P5" s="2277" t="str">
        <f>+IF(แหล่งวัสดุ!L11&lt;แหล่งวัสดุ!L17,แหล่งวัสดุ!B11,แหล่งวัสดุ!B17)</f>
        <v>บ.เนียง อ.เมือง จ.ยะลา</v>
      </c>
      <c r="Q5" s="2289"/>
      <c r="R5" s="2279" t="s">
        <v>58</v>
      </c>
      <c r="S5" s="2280">
        <f>+IF(แหล่งวัสดุ!L11&lt;แหล่งวัสดุ!L17,แหล่งวัสดุ!F11,แหล่งวัสดุ!F17)</f>
        <v>476.64</v>
      </c>
      <c r="T5" s="2290" t="s">
        <v>3</v>
      </c>
      <c r="U5" s="2291" t="s">
        <v>4</v>
      </c>
      <c r="V5" s="2283">
        <f>+IF(แหล่งวัสดุ!L11&lt;แหล่งวัสดุ!L17,แหล่งวัสดุ!H11,แหล่งวัสดุ!H17)</f>
        <v>78</v>
      </c>
      <c r="W5" s="2284" t="s">
        <v>5</v>
      </c>
      <c r="X5" s="2285">
        <f>IF(แหล่งวัสดุ!L$23=1,IF(V5&lt;=200,VLOOKUP(V5,'S2'!B$5:'S2'!F$204,3),IF(V5&gt;200,(V5-200)*'S2'!D$205+'S2'!D$204)),IF(แหล่งวัสดุ!L$23=2,IF(V5&lt;=200,VLOOKUP(V5,'S2'!B$5:'S2'!F$204,5),IF(V5&gt;200,(V5-200)*'S2'!F$205+'S2'!F$204))))</f>
        <v>151.05000000000001</v>
      </c>
      <c r="Y5" s="2286" t="s">
        <v>529</v>
      </c>
      <c r="Z5" s="2287">
        <f>+X5+S5</f>
        <v>627.69000000000005</v>
      </c>
      <c r="AA5" s="2288" t="s">
        <v>3</v>
      </c>
      <c r="AB5" s="353"/>
    </row>
    <row r="6" spans="1:28" ht="17.25" customHeight="1">
      <c r="B6" s="368" t="s">
        <v>403</v>
      </c>
      <c r="C6" s="368"/>
      <c r="D6" s="369" t="str">
        <f>+แหล่งวัสดุ!C3</f>
        <v xml:space="preserve">บำรุงพิเศษ ซ่อมสร้างผิวทาง Asphaltic Concrete </v>
      </c>
      <c r="E6" s="369"/>
      <c r="F6" s="369"/>
      <c r="G6" s="369"/>
      <c r="H6" s="369"/>
      <c r="I6" s="369"/>
      <c r="J6" s="369"/>
      <c r="K6" s="369"/>
      <c r="L6" s="369"/>
      <c r="O6" s="353"/>
      <c r="P6" s="2277" t="str">
        <f>+IF(แหล่งวัสดุ!L12&lt;แหล่งวัสดุ!L18,แหล่งวัสดุ!B12,แหล่งวัสดุ!B18)</f>
        <v>บ.เนียง อ.เมือง จ.ยะลา</v>
      </c>
      <c r="Q6" s="2289"/>
      <c r="R6" s="2279" t="s">
        <v>124</v>
      </c>
      <c r="S6" s="2280">
        <f>+IF(แหล่งวัสดุ!L12&lt;แหล่งวัสดุ!L18,แหล่งวัสดุ!F12,แหล่งวัสดุ!F18)</f>
        <v>500</v>
      </c>
      <c r="T6" s="2290" t="s">
        <v>3</v>
      </c>
      <c r="U6" s="2291" t="s">
        <v>4</v>
      </c>
      <c r="V6" s="2283">
        <f>+IF(แหล่งวัสดุ!L12&lt;แหล่งวัสดุ!L18,แหล่งวัสดุ!H12,แหล่งวัสดุ!H18)</f>
        <v>78</v>
      </c>
      <c r="W6" s="2284" t="s">
        <v>5</v>
      </c>
      <c r="X6" s="2285">
        <f>IF(แหล่งวัสดุ!L$23=1,IF(V6&lt;=200,VLOOKUP(V6,'S2'!B$5:'S2'!F$204,3),IF(V6&gt;200,(V6-200)*'S2'!D$205+'S2'!D$204)),IF(แหล่งวัสดุ!L$23=2,IF(V6&lt;=200,VLOOKUP(V6,'S2'!B$5:'S2'!F$204,5),IF(V6&gt;200,(V6-200)*'S2'!F$205+'S2'!F$204))))</f>
        <v>151.05000000000001</v>
      </c>
      <c r="Y6" s="2286" t="s">
        <v>529</v>
      </c>
      <c r="Z6" s="2287">
        <f>+X6+S6</f>
        <v>651.04999999999995</v>
      </c>
      <c r="AA6" s="2288" t="s">
        <v>3</v>
      </c>
      <c r="AB6" s="353"/>
    </row>
    <row r="7" spans="1:28" ht="17.25" customHeight="1">
      <c r="B7" s="368" t="s">
        <v>379</v>
      </c>
      <c r="C7" s="368"/>
      <c r="D7" s="369" t="str">
        <f>+แหล่งวัสดุ!C4</f>
        <v>แขวงทางหลวงชนบทสงขลา</v>
      </c>
      <c r="E7" s="369"/>
      <c r="F7" s="205"/>
      <c r="G7" s="205"/>
      <c r="H7" s="205"/>
      <c r="K7" s="368" t="s">
        <v>375</v>
      </c>
      <c r="M7" s="370">
        <f>+แหล่งวัสดุ!L4</f>
        <v>2559</v>
      </c>
      <c r="P7" s="2277" t="str">
        <f>+IF(แหล่งวัสดุ!L13&lt;แหล่งวัสดุ!L19,แหล่งวัสดุ!B13,แหล่งวัสดุ!B19)</f>
        <v>บ.เนียง อ.เมือง จ.ยะลา</v>
      </c>
      <c r="Q7" s="2292"/>
      <c r="R7" s="2279" t="s">
        <v>125</v>
      </c>
      <c r="S7" s="2280">
        <f>+IF(แหล่งวัสดุ!L13&lt;แหล่งวัสดุ!L19,แหล่งวัสดุ!F13,แหล่งวัสดุ!F19)</f>
        <v>500</v>
      </c>
      <c r="T7" s="2290" t="s">
        <v>3</v>
      </c>
      <c r="U7" s="2291" t="s">
        <v>4</v>
      </c>
      <c r="V7" s="2283">
        <f>+IF(แหล่งวัสดุ!L13&lt;แหล่งวัสดุ!L19,แหล่งวัสดุ!H13,แหล่งวัสดุ!H19)</f>
        <v>78</v>
      </c>
      <c r="W7" s="2284" t="s">
        <v>5</v>
      </c>
      <c r="X7" s="2285">
        <f>IF(แหล่งวัสดุ!L$23=1,IF(V7&lt;=200,VLOOKUP(V7,'S2'!B$5:'S2'!F$204,3),IF(V7&gt;200,(V7-200)*'S2'!D$205+'S2'!D$204)),IF(แหล่งวัสดุ!L$23=2,IF(V7&lt;=200,VLOOKUP(V7,'S2'!B$5:'S2'!F$204,5),IF(V7&gt;200,(V7-200)*'S2'!F$205+'S2'!F$204))))</f>
        <v>151.05000000000001</v>
      </c>
      <c r="Y7" s="2286" t="s">
        <v>529</v>
      </c>
      <c r="Z7" s="2287">
        <f>+X7+S7</f>
        <v>651.04999999999995</v>
      </c>
      <c r="AA7" s="2288" t="s">
        <v>3</v>
      </c>
    </row>
    <row r="8" spans="1:28" ht="17.25" customHeight="1">
      <c r="B8" s="368" t="str">
        <f>+"สายทาง       "</f>
        <v xml:space="preserve">สายทาง       </v>
      </c>
      <c r="C8" s="368"/>
      <c r="D8" s="371" t="str">
        <f>+แหล่งวัสดุ!C5</f>
        <v>ปน.4031</v>
      </c>
      <c r="E8" s="2718" t="s">
        <v>362</v>
      </c>
      <c r="F8" s="2718"/>
      <c r="G8" s="369" t="str">
        <f>+แหล่งวัสดุ!F5</f>
        <v>แยกทางหลวงหมายเลข 4157-บ้านปาตา</v>
      </c>
      <c r="H8" s="369"/>
      <c r="I8" s="369"/>
      <c r="J8" s="369"/>
      <c r="K8" s="205"/>
      <c r="L8" s="205"/>
      <c r="M8" s="373"/>
      <c r="N8" s="374"/>
      <c r="P8" s="2277" t="str">
        <f>+IF(แหล่งวัสดุ!L14&lt;แหล่งวัสดุ!L20,แหล่งวัสดุ!B14,แหล่งวัสดุ!B20)</f>
        <v>บ.เนียง อ.เมือง จ.ยะลา</v>
      </c>
      <c r="Q8" s="2292"/>
      <c r="R8" s="2279" t="s">
        <v>126</v>
      </c>
      <c r="S8" s="2280">
        <f>+IF(แหล่งวัสดุ!L14&lt;แหล่งวัสดุ!L20,แหล่งวัสดุ!F14,แหล่งวัสดุ!F20)</f>
        <v>476.64</v>
      </c>
      <c r="T8" s="2290" t="s">
        <v>3</v>
      </c>
      <c r="U8" s="2291" t="s">
        <v>4</v>
      </c>
      <c r="V8" s="2283">
        <f>+IF(แหล่งวัสดุ!L14&lt;แหล่งวัสดุ!L20,แหล่งวัสดุ!H14,แหล่งวัสดุ!H20)</f>
        <v>78</v>
      </c>
      <c r="W8" s="2284" t="s">
        <v>5</v>
      </c>
      <c r="X8" s="2285">
        <f>IF(แหล่งวัสดุ!L$23=1,IF(V8&lt;=200,VLOOKUP(V8,'S2'!B$5:'S2'!F$204,3),IF(V8&gt;200,(V8-200)*'S2'!D$205+'S2'!D$204)),IF(แหล่งวัสดุ!L$23=2,IF(V8&lt;=200,VLOOKUP(V8,'S2'!B$5:'S2'!F$204,5),IF(V8&gt;200,(V8-200)*'S2'!F$205+'S2'!F$204))))</f>
        <v>151.05000000000001</v>
      </c>
      <c r="Y8" s="2286" t="s">
        <v>529</v>
      </c>
      <c r="Z8" s="2287">
        <f>+X8+S8</f>
        <v>627.69000000000005</v>
      </c>
      <c r="AA8" s="2288" t="s">
        <v>3</v>
      </c>
    </row>
    <row r="9" spans="1:28" ht="17.25" customHeight="1">
      <c r="A9" s="999"/>
      <c r="B9" s="1015" t="s">
        <v>45</v>
      </c>
      <c r="C9" s="1016" t="str">
        <f>+แหล่งวัสดุ!C6</f>
        <v>อำเภอ  ปะนาเระ,ยะหริ่ง จังหวัด ปัตตานี</v>
      </c>
      <c r="D9" s="1017"/>
      <c r="E9" s="1017"/>
      <c r="F9" s="999"/>
      <c r="G9" s="999"/>
      <c r="H9" s="1018" t="s">
        <v>1287</v>
      </c>
      <c r="I9" s="1019">
        <f>+แหล่งวัสดุ!H6</f>
        <v>12.965999999999999</v>
      </c>
      <c r="J9" s="1020" t="s">
        <v>635</v>
      </c>
      <c r="K9" s="1020"/>
      <c r="L9" s="1020"/>
      <c r="M9" s="1021">
        <f>+แหล่งวัสดุ!L6</f>
        <v>1.5229999999999999</v>
      </c>
      <c r="N9" s="1022" t="s">
        <v>40</v>
      </c>
    </row>
    <row r="10" spans="1:28" ht="17.25" customHeight="1">
      <c r="B10" s="375"/>
      <c r="C10" s="375"/>
      <c r="H10" s="376" t="s">
        <v>128</v>
      </c>
      <c r="J10" s="377"/>
      <c r="P10" s="354" t="s">
        <v>636</v>
      </c>
    </row>
    <row r="11" spans="1:28" ht="17.25" customHeight="1">
      <c r="A11" s="352">
        <v>1</v>
      </c>
      <c r="B11" s="2315" t="str">
        <f>+P4</f>
        <v>บ.เนียง อ.เมือง จ.ยะลา</v>
      </c>
      <c r="C11" s="378"/>
      <c r="D11" s="379"/>
      <c r="E11" s="205"/>
      <c r="F11" s="352" t="s">
        <v>48</v>
      </c>
      <c r="H11" s="2314">
        <f>+S4</f>
        <v>373.83</v>
      </c>
      <c r="I11" s="380" t="s">
        <v>3</v>
      </c>
      <c r="J11" s="352" t="s">
        <v>4</v>
      </c>
      <c r="K11" s="2315">
        <f>+V4</f>
        <v>78</v>
      </c>
      <c r="L11" s="377" t="s">
        <v>5</v>
      </c>
      <c r="M11" s="381">
        <f>IF(แหล่งวัสดุ!L$23=1,IF(K11&lt;=200,VLOOKUP(K11,'S2'!B$5:'S2'!F$204,3),IF(K11&gt;200,(K11-200)*'S2'!D$205+'S2'!D$204)),IF(แหล่งวัสดุ!L$23=2,IF(K11&lt;=200,VLOOKUP(K11,'S2'!B$5:'S2'!F$204,5),IF(K11&gt;200,(K11-200)*'S2'!F$205+'S2'!F$204))))</f>
        <v>151.05000000000001</v>
      </c>
      <c r="N11" s="352" t="s">
        <v>18</v>
      </c>
      <c r="P11" s="1026" t="str">
        <f>+IF($Z$15&lt;$Z$19,P15,P19)</f>
        <v>อ.ศรีราชา จ.ชลบุรี</v>
      </c>
      <c r="Q11" s="1027"/>
      <c r="R11" s="1028" t="str">
        <f>+แหล่งวัสดุ!E36</f>
        <v>ยาง CSS-1</v>
      </c>
      <c r="S11" s="1029">
        <f>+IF($Z$15&lt;$Z$19,S15,S19)</f>
        <v>22515.5</v>
      </c>
      <c r="T11" s="1030" t="s">
        <v>8</v>
      </c>
      <c r="U11" s="1031" t="s">
        <v>4</v>
      </c>
      <c r="V11" s="1032">
        <f>+IF($Z$15&lt;$Z$19,V15,V19)</f>
        <v>1180</v>
      </c>
      <c r="W11" s="1033" t="s">
        <v>5</v>
      </c>
      <c r="X11" s="1034">
        <f>+IF($Z$15&lt;$Z$19,X15,X19)</f>
        <v>1628.1899999999998</v>
      </c>
      <c r="Y11" s="1035" t="s">
        <v>529</v>
      </c>
      <c r="Z11" s="1036">
        <f>+X11+S11</f>
        <v>24143.69</v>
      </c>
      <c r="AA11" s="1037" t="s">
        <v>3</v>
      </c>
    </row>
    <row r="12" spans="1:28" ht="17.25" customHeight="1">
      <c r="A12" s="352">
        <v>2</v>
      </c>
      <c r="B12" s="2315" t="str">
        <f>+P5</f>
        <v>บ.เนียง อ.เมือง จ.ยะลา</v>
      </c>
      <c r="C12" s="378"/>
      <c r="D12" s="379"/>
      <c r="E12" s="205"/>
      <c r="F12" s="352" t="s">
        <v>58</v>
      </c>
      <c r="H12" s="2314">
        <f>+S5</f>
        <v>476.64</v>
      </c>
      <c r="I12" s="380" t="s">
        <v>3</v>
      </c>
      <c r="J12" s="352" t="s">
        <v>4</v>
      </c>
      <c r="K12" s="2315">
        <f>+V5</f>
        <v>78</v>
      </c>
      <c r="L12" s="377" t="s">
        <v>5</v>
      </c>
      <c r="M12" s="381">
        <f>IF(แหล่งวัสดุ!L$23=1,IF(K12&lt;=200,VLOOKUP(K12,'S2'!B$5:'S2'!F$204,3),IF(K12&gt;200,(K12-200)*'S2'!D$205+'S2'!D$204)),IF(แหล่งวัสดุ!L$23=2,IF(K12&lt;=200,VLOOKUP(K12,'S2'!B$5:'S2'!F$204,5),IF(K12&gt;200,(K12-200)*'S2'!F$205+'S2'!F$204))))</f>
        <v>151.05000000000001</v>
      </c>
      <c r="N12" s="352" t="s">
        <v>18</v>
      </c>
      <c r="P12" s="1026" t="str">
        <f>+IF($Z$16&lt;$Z$20,P16,P20)</f>
        <v>อ.ศรีราชา จ.ชลบุรี</v>
      </c>
      <c r="Q12" s="1038"/>
      <c r="R12" s="1028" t="str">
        <f>+แหล่งวัสดุ!E37</f>
        <v>ยาง AC 60-70</v>
      </c>
      <c r="S12" s="1034">
        <f>+IF($Z$16&lt;$Z$20,S16,S20)</f>
        <v>25572.160000000003</v>
      </c>
      <c r="T12" s="1030" t="s">
        <v>8</v>
      </c>
      <c r="U12" s="1039" t="s">
        <v>4</v>
      </c>
      <c r="V12" s="1032">
        <f>+IF($Z$16&lt;$Z$20,V16,V20)</f>
        <v>1180</v>
      </c>
      <c r="W12" s="1033" t="s">
        <v>5</v>
      </c>
      <c r="X12" s="1034">
        <f>+IF($Z$16&lt;$Z$20,X16,X20)</f>
        <v>1628.1899999999998</v>
      </c>
      <c r="Y12" s="1035" t="s">
        <v>529</v>
      </c>
      <c r="Z12" s="1036">
        <f>+X12+S12</f>
        <v>27200.350000000002</v>
      </c>
      <c r="AA12" s="1037" t="s">
        <v>3</v>
      </c>
    </row>
    <row r="13" spans="1:28" ht="17.25" customHeight="1">
      <c r="A13" s="352">
        <v>3</v>
      </c>
      <c r="B13" s="2315" t="str">
        <f>+P6</f>
        <v>บ.เนียง อ.เมือง จ.ยะลา</v>
      </c>
      <c r="C13" s="378"/>
      <c r="D13" s="379"/>
      <c r="E13" s="205"/>
      <c r="F13" s="352" t="s">
        <v>124</v>
      </c>
      <c r="H13" s="2314">
        <f>+S6</f>
        <v>500</v>
      </c>
      <c r="I13" s="380" t="s">
        <v>3</v>
      </c>
      <c r="J13" s="352" t="s">
        <v>6</v>
      </c>
      <c r="K13" s="2315">
        <f>+V6</f>
        <v>78</v>
      </c>
      <c r="L13" s="377" t="s">
        <v>5</v>
      </c>
      <c r="M13" s="381">
        <f>IF(แหล่งวัสดุ!L$23=1,IF(K13&lt;=200,VLOOKUP(K13,'S2'!B$5:'S2'!F$204,3),IF(K13&gt;200,(K13-200)*'S2'!D$205+'S2'!D$204)),IF(แหล่งวัสดุ!L$23=2,IF(K13&lt;=200,VLOOKUP(K13,'S2'!B$5:'S2'!F$204,5),IF(K13&gt;200,(K13-200)*'S2'!F$205+'S2'!F$204))))</f>
        <v>151.05000000000001</v>
      </c>
      <c r="N13" s="352" t="s">
        <v>18</v>
      </c>
      <c r="P13" s="1026" t="str">
        <f>+IF($Z$17&lt;$Z$21,P17,P21)</f>
        <v>อ.ศรีราชา จ.ชลบุรี</v>
      </c>
      <c r="Q13" s="1038"/>
      <c r="R13" s="1028" t="str">
        <f>+แหล่งวัสดุ!E38</f>
        <v>ยาง CRS-2</v>
      </c>
      <c r="S13" s="1034">
        <f>+IF($Z$17&lt;$Z$21,S17,S21)</f>
        <v>21735.5</v>
      </c>
      <c r="T13" s="1030" t="s">
        <v>8</v>
      </c>
      <c r="U13" s="1039" t="s">
        <v>4</v>
      </c>
      <c r="V13" s="1032">
        <f>+IF($Z$17&lt;$Z$21,V17,V21)</f>
        <v>1180</v>
      </c>
      <c r="W13" s="1033" t="s">
        <v>5</v>
      </c>
      <c r="X13" s="1034">
        <f>+IF($Z$17&lt;$Z$21,X17,X21)</f>
        <v>1628.1899999999998</v>
      </c>
      <c r="Y13" s="1035" t="s">
        <v>529</v>
      </c>
      <c r="Z13" s="1036">
        <f>+X13+S13</f>
        <v>23363.69</v>
      </c>
      <c r="AA13" s="1037" t="s">
        <v>3</v>
      </c>
    </row>
    <row r="14" spans="1:28" ht="17.25" customHeight="1">
      <c r="A14" s="352">
        <v>4</v>
      </c>
      <c r="B14" s="2315" t="str">
        <f>+P7</f>
        <v>บ.เนียง อ.เมือง จ.ยะลา</v>
      </c>
      <c r="C14" s="378"/>
      <c r="D14" s="379"/>
      <c r="E14" s="205"/>
      <c r="F14" s="352" t="s">
        <v>125</v>
      </c>
      <c r="H14" s="2314">
        <f>+S7</f>
        <v>500</v>
      </c>
      <c r="I14" s="380" t="s">
        <v>3</v>
      </c>
      <c r="J14" s="352" t="s">
        <v>6</v>
      </c>
      <c r="K14" s="2315">
        <f>+V7</f>
        <v>78</v>
      </c>
      <c r="L14" s="377" t="s">
        <v>5</v>
      </c>
      <c r="M14" s="381">
        <f>IF(แหล่งวัสดุ!L$23=1,IF(K14&lt;=200,VLOOKUP(K14,'S2'!B$5:'S2'!F$204,3),IF(K14&gt;200,(K14-200)*'S2'!D$205+'S2'!D$204)),IF(แหล่งวัสดุ!L$23=2,IF(K14&lt;=200,VLOOKUP(K14,'S2'!B$5:'S2'!F$204,5),IF(K14&gt;200,(K14-200)*'S2'!F$205+'S2'!F$204))))</f>
        <v>151.05000000000001</v>
      </c>
      <c r="N14" s="352" t="s">
        <v>18</v>
      </c>
      <c r="P14" s="382" t="s">
        <v>643</v>
      </c>
    </row>
    <row r="15" spans="1:28" ht="17.25" customHeight="1">
      <c r="A15" s="352">
        <v>5</v>
      </c>
      <c r="B15" s="2315" t="str">
        <f>+P8</f>
        <v>บ.เนียง อ.เมือง จ.ยะลา</v>
      </c>
      <c r="C15" s="378"/>
      <c r="D15" s="379"/>
      <c r="E15" s="205"/>
      <c r="F15" s="352" t="s">
        <v>126</v>
      </c>
      <c r="H15" s="2314">
        <f>+S8</f>
        <v>476.64</v>
      </c>
      <c r="I15" s="380" t="s">
        <v>3</v>
      </c>
      <c r="J15" s="352" t="s">
        <v>6</v>
      </c>
      <c r="K15" s="2315">
        <f>+V8</f>
        <v>78</v>
      </c>
      <c r="L15" s="377" t="s">
        <v>5</v>
      </c>
      <c r="M15" s="381">
        <f>IF(แหล่งวัสดุ!L$23=1,IF(K15&lt;=200,VLOOKUP(K15,'S2'!B$5:'S2'!F$204,3),IF(K15&gt;200,(K15-200)*'S2'!D$205+'S2'!D$204)),IF(แหล่งวัสดุ!L$23=2,IF(K15&lt;=200,VLOOKUP(K15,'S2'!B$5:'S2'!F$204,5),IF(K15&gt;200,(K15-200)*'S2'!F$205+'S2'!F$204))))</f>
        <v>151.05000000000001</v>
      </c>
      <c r="N15" s="352" t="s">
        <v>18</v>
      </c>
      <c r="P15" s="383" t="str">
        <f>+แหล่งวัสดุ!B36</f>
        <v>อ.ศรีราชา จ.ชลบุรี</v>
      </c>
      <c r="Q15" s="356"/>
      <c r="R15" s="359" t="str">
        <f>+แหล่งวัสดุ!E36</f>
        <v>ยาง CSS-1</v>
      </c>
      <c r="S15" s="384">
        <f>+แหล่งวัสดุ!F36</f>
        <v>22515.5</v>
      </c>
      <c r="T15" s="357" t="s">
        <v>8</v>
      </c>
      <c r="U15" s="358" t="s">
        <v>4</v>
      </c>
      <c r="V15" s="1023">
        <f>+แหล่งวัสดุ!H36</f>
        <v>1180</v>
      </c>
      <c r="W15" s="359" t="s">
        <v>5</v>
      </c>
      <c r="X15" s="360">
        <f>+IF(แหล่งวัสดุ!L$24=1,IF(V15&lt;=200,VLOOKUP(V15,'S2'!B$5:'S2'!F$204,2),IF(V15&gt;200,(V15-200)*'S2'!C$205+'S2'!C$204)),IF(แหล่งวัสดุ!L$24=2,IF(V15&lt;=200,VLOOKUP(V15,'S2'!B$5:'S2'!F$204,4),IF(V15&gt;200,(V15-200)*'S2'!E$205+'S2'!E$204))))</f>
        <v>1628.1899999999998</v>
      </c>
      <c r="Y15" s="361" t="s">
        <v>642</v>
      </c>
      <c r="Z15" s="385">
        <f>+X15+S15</f>
        <v>24143.69</v>
      </c>
      <c r="AA15" s="362" t="s">
        <v>3</v>
      </c>
    </row>
    <row r="16" spans="1:28" ht="17.25" customHeight="1">
      <c r="A16" s="352">
        <v>6</v>
      </c>
      <c r="B16" s="2315" t="str">
        <f>B13</f>
        <v>บ.เนียง อ.เมือง จ.ยะลา</v>
      </c>
      <c r="C16" s="378"/>
      <c r="D16" s="379"/>
      <c r="E16" s="205"/>
      <c r="F16" s="352" t="s">
        <v>127</v>
      </c>
      <c r="H16" s="2317">
        <f>0.5*H12+0.25*H13+0.1*H14+0.15*H15</f>
        <v>484.81599999999997</v>
      </c>
      <c r="I16" s="380" t="s">
        <v>3</v>
      </c>
      <c r="J16" s="352" t="s">
        <v>6</v>
      </c>
      <c r="K16" s="2316">
        <f>0.5*K12+0.25*K13+0.1*K14+0.15*K15</f>
        <v>78</v>
      </c>
      <c r="L16" s="377" t="s">
        <v>5</v>
      </c>
      <c r="M16" s="381">
        <f>IF(แหล่งวัสดุ!L$23=1,IF(K16&lt;=200,VLOOKUP(K16,'S2'!B$5:'S2'!F$204,3),IF(K16&gt;200,(K16-200)*'S2'!D$205+'S2'!D$204)),IF(แหล่งวัสดุ!L$23=2,IF(K16&lt;=200,VLOOKUP(K16,'S2'!B$5:'S2'!F$204,5),IF(K16&gt;200,(K16-200)*'S2'!F$205+'S2'!F$204))))</f>
        <v>151.05000000000001</v>
      </c>
      <c r="N16" s="352" t="s">
        <v>18</v>
      </c>
      <c r="P16" s="383" t="str">
        <f>+P15</f>
        <v>อ.ศรีราชา จ.ชลบุรี</v>
      </c>
      <c r="Q16" s="365"/>
      <c r="R16" s="359" t="str">
        <f>+แหล่งวัสดุ!E37</f>
        <v>ยาง AC 60-70</v>
      </c>
      <c r="S16" s="384">
        <f>+แหล่งวัสดุ!F37</f>
        <v>25572.160000000003</v>
      </c>
      <c r="T16" s="357" t="s">
        <v>8</v>
      </c>
      <c r="U16" s="367" t="s">
        <v>4</v>
      </c>
      <c r="V16" s="1023">
        <f>+แหล่งวัสดุ!H37</f>
        <v>1180</v>
      </c>
      <c r="W16" s="359" t="s">
        <v>5</v>
      </c>
      <c r="X16" s="360">
        <f>+IF(แหล่งวัสดุ!L$24=1,IF(V16&lt;=200,VLOOKUP(V16,'S2'!B$5:'S2'!F$204,2),IF(V16&gt;200,(V16-200)*'S2'!C$205+'S2'!C$204)),IF(แหล่งวัสดุ!L$24=2,IF(V16&lt;=200,VLOOKUP(V16,'S2'!B$5:'S2'!F$204,4),IF(V16&gt;200,(V16-200)*'S2'!E$205+'S2'!E$204))))</f>
        <v>1628.1899999999998</v>
      </c>
      <c r="Y16" s="361" t="s">
        <v>642</v>
      </c>
      <c r="Z16" s="385">
        <f>+X16+S16</f>
        <v>27200.350000000002</v>
      </c>
      <c r="AA16" s="362" t="s">
        <v>3</v>
      </c>
    </row>
    <row r="17" spans="1:34" ht="17.25" customHeight="1">
      <c r="A17" s="1581">
        <v>7</v>
      </c>
      <c r="B17" s="2318" t="str">
        <f>+แหล่งวัสดุ!B24</f>
        <v>ต.คลองเปียะ อ.จะนะ จ.สงขลา</v>
      </c>
      <c r="F17" s="352" t="str">
        <f>+แหล่งวัสดุ!E24</f>
        <v>หินใหญ่</v>
      </c>
      <c r="H17" s="2318">
        <f>+แหล่งวัสดุ!F24</f>
        <v>476.64</v>
      </c>
      <c r="I17" s="380" t="s">
        <v>3</v>
      </c>
      <c r="J17" s="1581" t="s">
        <v>6</v>
      </c>
      <c r="K17" s="2319">
        <f>+แหล่งวัสดุ!H71</f>
        <v>150</v>
      </c>
      <c r="L17" s="377" t="s">
        <v>5</v>
      </c>
      <c r="M17" s="381">
        <f>IF(แหล่งวัสดุ!L$36=1,IF(K17&lt;=200,VLOOKUP(K17,'S2'!B$5:'S2'!F$204,3),IF(K17&gt;200,(K17-200)*'S2'!D$205+'S2'!D$204)),IF(แหล่งวัสดุ!L$36=2,IF(K17&lt;=200,VLOOKUP(K17,'S2'!B$5:'S2'!F$204,5),IF(K17&gt;200,(K17-200)*'S2'!F$205+'S2'!F$204))))</f>
        <v>472.35</v>
      </c>
      <c r="N17" s="1581" t="s">
        <v>18</v>
      </c>
      <c r="P17" s="383" t="str">
        <f>+P16</f>
        <v>อ.ศรีราชา จ.ชลบุรี</v>
      </c>
      <c r="Q17" s="365"/>
      <c r="R17" s="359" t="str">
        <f>+แหล่งวัสดุ!E38</f>
        <v>ยาง CRS-2</v>
      </c>
      <c r="S17" s="384">
        <f>+แหล่งวัสดุ!F38</f>
        <v>21735.5</v>
      </c>
      <c r="T17" s="357" t="s">
        <v>8</v>
      </c>
      <c r="U17" s="367" t="s">
        <v>4</v>
      </c>
      <c r="V17" s="1023">
        <f>+แหล่งวัสดุ!H38</f>
        <v>1180</v>
      </c>
      <c r="W17" s="359" t="s">
        <v>5</v>
      </c>
      <c r="X17" s="360">
        <f>+IF(แหล่งวัสดุ!L$24=1,IF(V17&lt;=200,VLOOKUP(V17,'S2'!B$5:'S2'!F$204,2),IF(V17&gt;200,(V17-200)*'S2'!C$205+'S2'!C$204)),IF(แหล่งวัสดุ!L$24=2,IF(V17&lt;=200,VLOOKUP(V17,'S2'!B$5:'S2'!F$204,4),IF(V17&gt;200,(V17-200)*'S2'!E$205+'S2'!E$204))))</f>
        <v>1628.1899999999998</v>
      </c>
      <c r="Y17" s="361" t="s">
        <v>642</v>
      </c>
      <c r="Z17" s="385">
        <f>+X17+S17</f>
        <v>23363.69</v>
      </c>
      <c r="AA17" s="362" t="s">
        <v>3</v>
      </c>
    </row>
    <row r="18" spans="1:34" ht="17.25" customHeight="1">
      <c r="A18" s="1581">
        <v>8</v>
      </c>
      <c r="B18" s="2315" t="str">
        <f>+แหล่งวัสดุ!B25</f>
        <v>อ.มะนัง จ.สตูล</v>
      </c>
      <c r="C18" s="386"/>
      <c r="D18" s="387"/>
      <c r="E18" s="205"/>
      <c r="F18" s="352" t="s">
        <v>172</v>
      </c>
      <c r="H18" s="2321">
        <f>+แหล่งวัสดุ!F25</f>
        <v>25</v>
      </c>
      <c r="I18" s="380" t="s">
        <v>3</v>
      </c>
      <c r="J18" s="352" t="s">
        <v>6</v>
      </c>
      <c r="K18" s="2315">
        <f>+แหล่งวัสดุ!H25</f>
        <v>6</v>
      </c>
      <c r="L18" s="377" t="s">
        <v>5</v>
      </c>
      <c r="M18" s="381">
        <f>IF(แหล่งวัสดุ!$L$32=1,IF(K18&lt;=200,VLOOKUP(K18,'S2'!B$5:'S2'!F$204,3),IF(K18&gt;200,(K18-200)*'S2'!D$205+'S2'!D$204)),IF(แหล่งวัสดุ!$L$32=2,IF(K18&lt;=200,VLOOKUP(K18,'S2'!B$5:'S2'!F$204,5),IF(K18&gt;200,(K18-200)*'S2'!F$205+'S2'!F$204))))</f>
        <v>22.09</v>
      </c>
      <c r="N18" s="352" t="s">
        <v>18</v>
      </c>
      <c r="P18" s="382" t="s">
        <v>644</v>
      </c>
      <c r="Z18" s="388"/>
    </row>
    <row r="19" spans="1:34" ht="17.25" customHeight="1">
      <c r="A19" s="1581">
        <v>9</v>
      </c>
      <c r="B19" s="2315" t="str">
        <f>+แหล่งวัสดุ!B26</f>
        <v>อ.มะนัง จ.สตูล</v>
      </c>
      <c r="C19" s="386"/>
      <c r="D19" s="387"/>
      <c r="E19" s="205"/>
      <c r="F19" s="352" t="s">
        <v>7</v>
      </c>
      <c r="H19" s="2321">
        <f>+แหล่งวัสดุ!F26</f>
        <v>35</v>
      </c>
      <c r="I19" s="380" t="s">
        <v>3</v>
      </c>
      <c r="J19" s="352" t="s">
        <v>6</v>
      </c>
      <c r="K19" s="2315">
        <f>+แหล่งวัสดุ!H26</f>
        <v>19</v>
      </c>
      <c r="L19" s="377" t="s">
        <v>5</v>
      </c>
      <c r="M19" s="381">
        <f>IF(แหล่งวัสดุ!$L$32=1,IF(K19&lt;=200,VLOOKUP(K19,'S2'!B$5:'S2'!F$204,3),IF(K19&gt;200,(K19-200)*'S2'!D$205+'S2'!D$204)),IF(แหล่งวัสดุ!$L$32=2,IF(K19&lt;=200,VLOOKUP(K19,'S2'!B$5:'S2'!F$204,5),IF(K19&gt;200,(K19-200)*'S2'!F$205+'S2'!F$204))))</f>
        <v>61.32</v>
      </c>
      <c r="N19" s="352" t="s">
        <v>18</v>
      </c>
      <c r="P19" s="383" t="str">
        <f>+แหล่งวัสดุ!B33</f>
        <v>สำนักดัชนีการค้า กรุงเทพฯ(ตุลาคม58)</v>
      </c>
      <c r="Q19" s="356"/>
      <c r="R19" s="359" t="str">
        <f>+แหล่งวัสดุ!E33</f>
        <v>ยาง CSS-1</v>
      </c>
      <c r="S19" s="384">
        <f>+แหล่งวัสดุ!F33</f>
        <v>22686.67</v>
      </c>
      <c r="T19" s="357" t="s">
        <v>3</v>
      </c>
      <c r="U19" s="358" t="s">
        <v>4</v>
      </c>
      <c r="V19" s="1023">
        <f>+แหล่งวัสดุ!H33</f>
        <v>1075</v>
      </c>
      <c r="W19" s="359" t="s">
        <v>5</v>
      </c>
      <c r="X19" s="360">
        <f>+IF(แหล่งวัสดุ!L$24=1,IF(V19&lt;=200,VLOOKUP(V19,'S2'!B$5:'S2'!F$204,2),IF(V19&gt;200,(V19-200)*'S2'!C$205+'S2'!C$204)),IF(แหล่งวัสดุ!L$24=2,IF(V19&lt;=200,VLOOKUP(V19,'S2'!B$5:'S2'!F$204,4),IF(V19&gt;200,(V19-200)*'S2'!E$205+'S2'!E$204))))</f>
        <v>1483.29</v>
      </c>
      <c r="Y19" s="361" t="s">
        <v>642</v>
      </c>
      <c r="Z19" s="385">
        <f>+X19+S19</f>
        <v>24169.96</v>
      </c>
      <c r="AA19" s="362" t="s">
        <v>3</v>
      </c>
    </row>
    <row r="20" spans="1:34" ht="17.25" customHeight="1">
      <c r="A20" s="1581">
        <v>10</v>
      </c>
      <c r="B20" s="2315" t="str">
        <f>+แหล่งวัสดุ!B27</f>
        <v>อ.มะนัง จ.สตูล</v>
      </c>
      <c r="C20" s="378"/>
      <c r="D20" s="379"/>
      <c r="E20" s="205"/>
      <c r="F20" s="352" t="s">
        <v>145</v>
      </c>
      <c r="H20" s="2321">
        <f>+แหล่งวัสดุ!F27</f>
        <v>35</v>
      </c>
      <c r="I20" s="380" t="s">
        <v>3</v>
      </c>
      <c r="J20" s="352" t="s">
        <v>6</v>
      </c>
      <c r="K20" s="2315">
        <f>+แหล่งวัสดุ!H27</f>
        <v>0</v>
      </c>
      <c r="L20" s="377" t="s">
        <v>5</v>
      </c>
      <c r="M20" s="381" t="e">
        <f>IF(แหล่งวัสดุ!$L$32=1,IF(K20&lt;=200,VLOOKUP(K20,'S2'!B$5:'S2'!F$204,3),IF(K20&gt;200,(K20-200)*'S2'!D$205+'S2'!D$204)),IF(แหล่งวัสดุ!$L$32=2,IF(K20&lt;=200,VLOOKUP(K20,'S2'!B$5:'S2'!F$204,5),IF(K20&gt;200,(K20-200)*'S2'!F$205+'S2'!F$204))))</f>
        <v>#N/A</v>
      </c>
      <c r="N20" s="352" t="s">
        <v>18</v>
      </c>
      <c r="P20" s="383" t="str">
        <f>+แหล่งวัสดุ!B34</f>
        <v>สำนักดัชนีการค้า กรุงเทพฯ(ตุลาคม58)</v>
      </c>
      <c r="Q20" s="365"/>
      <c r="R20" s="359" t="str">
        <f>+แหล่งวัสดุ!E34</f>
        <v>ยาง AC 60-70</v>
      </c>
      <c r="S20" s="384">
        <f>+แหล่งวัสดุ!F34</f>
        <v>25743.33</v>
      </c>
      <c r="T20" s="366" t="s">
        <v>3</v>
      </c>
      <c r="U20" s="367" t="s">
        <v>4</v>
      </c>
      <c r="V20" s="1023">
        <f>+แหล่งวัสดุ!H34</f>
        <v>1075</v>
      </c>
      <c r="W20" s="359" t="s">
        <v>5</v>
      </c>
      <c r="X20" s="360">
        <f>+IF(แหล่งวัสดุ!L$24=1,IF(V20&lt;=200,VLOOKUP(V20,'S2'!B$5:'S2'!F$204,2),IF(V20&gt;200,(V20-200)*'S2'!C$205+'S2'!C$204)),IF(แหล่งวัสดุ!L$24=2,IF(V20&lt;=200,VLOOKUP(V20,'S2'!B$5:'S2'!F$204,4),IF(V20&gt;200,(V20-200)*'S2'!E$205+'S2'!E$204))))</f>
        <v>1483.29</v>
      </c>
      <c r="Y20" s="361" t="s">
        <v>642</v>
      </c>
      <c r="Z20" s="385">
        <f>+X20+S20</f>
        <v>27226.620000000003</v>
      </c>
      <c r="AA20" s="362" t="s">
        <v>3</v>
      </c>
    </row>
    <row r="21" spans="1:34" ht="17.25" customHeight="1">
      <c r="A21" s="1581">
        <v>11</v>
      </c>
      <c r="B21" s="2318" t="str">
        <f>+แหล่งวัสดุ!B30</f>
        <v>สำนักดัชนีการค้า ปัตตานี (ตุลาคม 58)</v>
      </c>
      <c r="C21" s="369"/>
      <c r="D21" s="205"/>
      <c r="E21" s="205"/>
      <c r="F21" s="283" t="s">
        <v>583</v>
      </c>
      <c r="H21" s="2322">
        <f>+แหล่งวัสดุ!F30</f>
        <v>3003.11</v>
      </c>
      <c r="I21" s="380" t="s">
        <v>8</v>
      </c>
      <c r="J21" s="352" t="s">
        <v>12</v>
      </c>
      <c r="K21" s="2315">
        <f>+แหล่งวัสดุ!H30</f>
        <v>65</v>
      </c>
      <c r="L21" s="377" t="s">
        <v>5</v>
      </c>
      <c r="M21" s="381">
        <f>IF(แหล่งวัสดุ!$L$30=1,IF(K21&lt;=200,VLOOKUP(K21,'S2'!B$5:'S2'!F$204,2),IF(K21&gt;200,(K21-200)*'S2'!C$205+'S2'!C$204)),IF(แหล่งวัสดุ!$L$30=2,IF(K21&lt;=200,VLOOKUP(K21,'S2'!B$5:'S2'!F$204,4),IF(K21&gt;200,(K21-200)*'S2'!E$205+'S2'!E$204))))</f>
        <v>90.01</v>
      </c>
      <c r="N21" s="352" t="s">
        <v>9</v>
      </c>
      <c r="P21" s="383" t="str">
        <f>+แหล่งวัสดุ!B35</f>
        <v>สำนักดัชนีการค้า กรุงเทพฯ(ตุลาคม58)</v>
      </c>
      <c r="Q21" s="365"/>
      <c r="R21" s="359" t="str">
        <f>+แหล่งวัสดุ!E35</f>
        <v>ยาง CRS-2</v>
      </c>
      <c r="S21" s="384">
        <f>+แหล่งวัสดุ!F35</f>
        <v>21906.67</v>
      </c>
      <c r="T21" s="366" t="s">
        <v>3</v>
      </c>
      <c r="U21" s="367" t="s">
        <v>4</v>
      </c>
      <c r="V21" s="1023">
        <f>+แหล่งวัสดุ!H35</f>
        <v>1075</v>
      </c>
      <c r="W21" s="359" t="s">
        <v>5</v>
      </c>
      <c r="X21" s="360">
        <f>+IF(แหล่งวัสดุ!L$24=1,IF(V21&lt;=200,VLOOKUP(V21,'S2'!B$5:'S2'!F$204,2),IF(V21&gt;200,(V21-200)*'S2'!C$205+'S2'!C$204)),IF(แหล่งวัสดุ!L$24=2,IF(V21&lt;=200,VLOOKUP(V21,'S2'!B$5:'S2'!F$204,4),IF(V21&gt;200,(V21-200)*'S2'!E$205+'S2'!E$204))))</f>
        <v>1483.29</v>
      </c>
      <c r="Y21" s="361" t="s">
        <v>642</v>
      </c>
      <c r="Z21" s="385">
        <f>+X21+S21</f>
        <v>23389.96</v>
      </c>
      <c r="AA21" s="362" t="s">
        <v>3</v>
      </c>
      <c r="AB21" s="390"/>
    </row>
    <row r="22" spans="1:34" ht="17.25" customHeight="1">
      <c r="A22" s="1581">
        <v>12</v>
      </c>
      <c r="B22" s="2318" t="str">
        <f>+P11</f>
        <v>อ.ศรีราชา จ.ชลบุรี</v>
      </c>
      <c r="C22" s="205"/>
      <c r="D22" s="205"/>
      <c r="E22" s="205"/>
      <c r="F22" s="205" t="s">
        <v>121</v>
      </c>
      <c r="G22" s="205"/>
      <c r="H22" s="2323">
        <f>+S11</f>
        <v>22515.5</v>
      </c>
      <c r="I22" s="197" t="s">
        <v>8</v>
      </c>
      <c r="J22" s="205" t="s">
        <v>11</v>
      </c>
      <c r="K22" s="2324">
        <f>+V11</f>
        <v>1180</v>
      </c>
      <c r="L22" s="377" t="s">
        <v>5</v>
      </c>
      <c r="M22" s="381">
        <f>IF(แหล่งวัสดุ!L$24=1,IF(K22&lt;=200,VLOOKUP(K22,'S2'!B$5:'S2'!F$204,2),IF(K22&gt;200,(K22-200)*'S2'!C$205+'S2'!C$204)),IF(แหล่งวัสดุ!L$24=2,IF(K22&lt;=200,VLOOKUP(K22,'S2'!B$5:'S2'!F$204,4),IF(K22&gt;200,(K22-200)*'S2'!E$205+'S2'!E$204))))</f>
        <v>1628.1899999999998</v>
      </c>
      <c r="N22" s="352" t="s">
        <v>9</v>
      </c>
      <c r="AB22" s="390"/>
      <c r="AG22" s="353"/>
      <c r="AH22" s="353"/>
    </row>
    <row r="23" spans="1:34" ht="17.25" customHeight="1">
      <c r="A23" s="1581">
        <v>13</v>
      </c>
      <c r="B23" s="2318" t="str">
        <f>+P12</f>
        <v>อ.ศรีราชา จ.ชลบุรี</v>
      </c>
      <c r="C23" s="205"/>
      <c r="D23" s="205"/>
      <c r="E23" s="205"/>
      <c r="F23" s="205" t="s">
        <v>122</v>
      </c>
      <c r="G23" s="205"/>
      <c r="H23" s="2323">
        <f>+S12</f>
        <v>25572.160000000003</v>
      </c>
      <c r="I23" s="197" t="s">
        <v>8</v>
      </c>
      <c r="J23" s="205" t="s">
        <v>10</v>
      </c>
      <c r="K23" s="2324">
        <f>+V12</f>
        <v>1180</v>
      </c>
      <c r="L23" s="377" t="s">
        <v>5</v>
      </c>
      <c r="M23" s="381">
        <f>IF(แหล่งวัสดุ!L$24=1,IF(K23&lt;=200,VLOOKUP(K23,'S2'!B$5:'S2'!F$204,2),IF(K23&gt;200,(K23-200)*'S2'!C$205+'S2'!C$204)),IF(แหล่งวัสดุ!L$24=2,IF(K23&lt;=200,VLOOKUP(K23,'S2'!B$5:'S2'!F$204,4),IF(K23&gt;200,(K23-200)*'S2'!E$205+'S2'!E$204))))</f>
        <v>1628.1899999999998</v>
      </c>
      <c r="N23" s="352" t="s">
        <v>9</v>
      </c>
      <c r="AB23" s="390"/>
    </row>
    <row r="24" spans="1:34" ht="17.25" customHeight="1">
      <c r="A24" s="1581">
        <v>14</v>
      </c>
      <c r="B24" s="2318" t="str">
        <f>+P13</f>
        <v>อ.ศรีราชา จ.ชลบุรี</v>
      </c>
      <c r="C24" s="205"/>
      <c r="D24" s="205"/>
      <c r="E24" s="205"/>
      <c r="F24" s="205" t="s">
        <v>123</v>
      </c>
      <c r="G24" s="205"/>
      <c r="H24" s="2323">
        <f>+S13</f>
        <v>21735.5</v>
      </c>
      <c r="I24" s="197" t="s">
        <v>8</v>
      </c>
      <c r="J24" s="205" t="s">
        <v>12</v>
      </c>
      <c r="K24" s="2324">
        <f>+V13</f>
        <v>1180</v>
      </c>
      <c r="L24" s="377" t="s">
        <v>5</v>
      </c>
      <c r="M24" s="381">
        <f>IF(แหล่งวัสดุ!L$24=1,IF(K24&lt;=200,VLOOKUP(K24,'S2'!B$5:'S2'!F$204,2),IF(K24&gt;200,(K24-200)*'S2'!C$205+'S2'!C$204)),IF(แหล่งวัสดุ!L$24=2,IF(K24&lt;=200,VLOOKUP(K24,'S2'!B$5:'S2'!F$204,4),IF(K24&gt;200,(K24-200)*'S2'!E$205+'S2'!E$204))))</f>
        <v>1628.1899999999998</v>
      </c>
      <c r="N24" s="352" t="s">
        <v>9</v>
      </c>
      <c r="AB24" s="390"/>
    </row>
    <row r="25" spans="1:34" ht="17.25" customHeight="1">
      <c r="A25" s="1581">
        <v>15</v>
      </c>
      <c r="B25" s="2318" t="str">
        <f>+แหล่งวัสดุ!B32</f>
        <v>สำนักดัชนีการค้า กรุงเทพฯ(ตุลาคม58)</v>
      </c>
      <c r="C25" s="205"/>
      <c r="D25" s="205"/>
      <c r="E25" s="205"/>
      <c r="F25" s="2325" t="str">
        <f>+แหล่งวัสดุ!E32</f>
        <v>PARA  Asphaltic  Concrete</v>
      </c>
      <c r="G25" s="205"/>
      <c r="H25" s="2323">
        <f>+แหล่งวัสดุ!F32</f>
        <v>38465</v>
      </c>
      <c r="I25" s="197" t="s">
        <v>8</v>
      </c>
      <c r="J25" s="205" t="s">
        <v>12</v>
      </c>
      <c r="K25" s="2324">
        <f>+แหล่งวัสดุ!H32</f>
        <v>1075</v>
      </c>
      <c r="L25" s="377" t="s">
        <v>5</v>
      </c>
      <c r="M25" s="381">
        <f>IF(แหล่งวัสดุ!L$24=1,IF(K25&lt;=200,VLOOKUP(K25,'S2'!B$5:'S2'!F$204,2),IF(K25&gt;200,(K25-200)*'S2'!C$205+'S2'!C$204)),IF(แหล่งวัสดุ!L$24=2,IF(K25&lt;=200,VLOOKUP(K25,'S2'!B$5:'S2'!F$204,4),IF(K25&gt;200,(K25-200)*'S2'!E$205+'S2'!E$204))))</f>
        <v>1483.29</v>
      </c>
      <c r="N25" s="352" t="s">
        <v>9</v>
      </c>
      <c r="AB25" s="390"/>
    </row>
    <row r="26" spans="1:34" s="1581" customFormat="1" ht="17.25" customHeight="1">
      <c r="H26" s="391" t="s">
        <v>13</v>
      </c>
      <c r="I26" s="375"/>
      <c r="AB26" s="390"/>
    </row>
    <row r="27" spans="1:34" ht="17.25" customHeight="1">
      <c r="A27" s="368">
        <v>1</v>
      </c>
      <c r="B27" s="392" t="s">
        <v>514</v>
      </c>
      <c r="C27" s="393"/>
      <c r="D27" s="394"/>
      <c r="AB27" s="390"/>
    </row>
    <row r="28" spans="1:34" ht="17.25" customHeight="1">
      <c r="B28" s="395" t="s">
        <v>115</v>
      </c>
      <c r="C28" s="395"/>
      <c r="D28" s="395"/>
      <c r="L28" s="377" t="s">
        <v>14</v>
      </c>
      <c r="M28" s="2312">
        <f>+H18</f>
        <v>25</v>
      </c>
      <c r="N28" s="352" t="s">
        <v>49</v>
      </c>
      <c r="AB28" s="372"/>
      <c r="AG28" s="353"/>
      <c r="AH28" s="353"/>
    </row>
    <row r="29" spans="1:34" ht="17.25" customHeight="1">
      <c r="B29" s="395" t="s">
        <v>116</v>
      </c>
      <c r="C29" s="395"/>
      <c r="D29" s="395"/>
      <c r="G29" s="375"/>
      <c r="L29" s="377" t="s">
        <v>14</v>
      </c>
      <c r="M29" s="2312">
        <f>+'S2'!$BF$35</f>
        <v>21.14</v>
      </c>
      <c r="N29" s="352" t="s">
        <v>49</v>
      </c>
      <c r="AB29" s="390"/>
      <c r="AG29" s="353"/>
      <c r="AH29" s="353"/>
    </row>
    <row r="30" spans="1:34" ht="17.25" customHeight="1">
      <c r="B30" s="395" t="s">
        <v>117</v>
      </c>
      <c r="C30" s="395"/>
      <c r="D30" s="1956" t="s">
        <v>1924</v>
      </c>
      <c r="E30" s="1956"/>
      <c r="F30" s="2293">
        <f>+แหล่งวัสดุ!$N$61</f>
        <v>1</v>
      </c>
      <c r="L30" s="377" t="s">
        <v>14</v>
      </c>
      <c r="M30" s="2312">
        <f>+M18*F30</f>
        <v>22.09</v>
      </c>
      <c r="N30" s="352" t="s">
        <v>49</v>
      </c>
      <c r="AB30" s="390"/>
      <c r="AG30" s="353"/>
      <c r="AH30" s="353"/>
    </row>
    <row r="31" spans="1:34" ht="17.25" customHeight="1">
      <c r="C31" s="395"/>
      <c r="D31" s="395" t="s">
        <v>513</v>
      </c>
      <c r="L31" s="377" t="s">
        <v>14</v>
      </c>
      <c r="M31" s="2313">
        <f>ROUND(SUM(M28:M30),2)</f>
        <v>68.23</v>
      </c>
      <c r="N31" s="352" t="s">
        <v>49</v>
      </c>
      <c r="AB31" s="390"/>
      <c r="AG31" s="353"/>
      <c r="AH31" s="353"/>
    </row>
    <row r="32" spans="1:34" ht="17.25" customHeight="1">
      <c r="B32" s="395"/>
      <c r="C32" s="395"/>
      <c r="H32" s="395" t="s">
        <v>189</v>
      </c>
      <c r="I32" s="397">
        <v>1.6</v>
      </c>
      <c r="L32" s="377" t="s">
        <v>14</v>
      </c>
      <c r="M32" s="2320">
        <f>ROUND(I32*M31,2)</f>
        <v>109.17</v>
      </c>
      <c r="N32" s="352" t="s">
        <v>54</v>
      </c>
      <c r="AB32" s="390"/>
      <c r="AG32" s="353"/>
      <c r="AH32" s="353"/>
    </row>
    <row r="33" spans="1:34" ht="17.25" customHeight="1">
      <c r="B33" s="395" t="s">
        <v>118</v>
      </c>
      <c r="C33" s="395"/>
      <c r="D33" s="395"/>
      <c r="I33" s="205"/>
      <c r="L33" s="377" t="s">
        <v>14</v>
      </c>
      <c r="M33" s="2312">
        <f>+'S2'!$BF$36</f>
        <v>45.48</v>
      </c>
      <c r="N33" s="352" t="s">
        <v>54</v>
      </c>
      <c r="AB33" s="390"/>
      <c r="AG33" s="353"/>
      <c r="AH33" s="353"/>
    </row>
    <row r="34" spans="1:34" ht="17.25" customHeight="1">
      <c r="C34" s="395"/>
      <c r="D34" s="399" t="s">
        <v>512</v>
      </c>
      <c r="I34" s="205"/>
      <c r="L34" s="377" t="s">
        <v>14</v>
      </c>
      <c r="M34" s="400">
        <f>ROUND(SUM(M32:M33),2)</f>
        <v>154.65</v>
      </c>
      <c r="N34" s="352" t="s">
        <v>54</v>
      </c>
      <c r="AG34" s="353"/>
      <c r="AH34" s="353"/>
    </row>
    <row r="35" spans="1:34" ht="17.25" customHeight="1">
      <c r="A35" s="368">
        <v>2</v>
      </c>
      <c r="B35" s="392" t="s">
        <v>296</v>
      </c>
      <c r="C35" s="393"/>
      <c r="D35" s="394"/>
      <c r="I35" s="205"/>
      <c r="AG35" s="353"/>
      <c r="AH35" s="353"/>
    </row>
    <row r="36" spans="1:34" ht="17.25" customHeight="1">
      <c r="B36" s="395" t="s">
        <v>2008</v>
      </c>
      <c r="C36" s="395"/>
      <c r="D36" s="395"/>
      <c r="I36" s="205"/>
      <c r="L36" s="377" t="s">
        <v>14</v>
      </c>
      <c r="M36" s="2312">
        <f>+'S2'!BF39</f>
        <v>8.14</v>
      </c>
      <c r="N36" s="352" t="s">
        <v>49</v>
      </c>
      <c r="AG36" s="353"/>
      <c r="AH36" s="353"/>
    </row>
    <row r="37" spans="1:34" s="2032" customFormat="1" ht="17.25" customHeight="1">
      <c r="B37" s="395" t="s">
        <v>2009</v>
      </c>
      <c r="C37" s="395"/>
      <c r="D37" s="2293">
        <v>1</v>
      </c>
      <c r="E37" s="2032" t="s">
        <v>40</v>
      </c>
      <c r="I37" s="205"/>
      <c r="L37" s="377" t="s">
        <v>14</v>
      </c>
      <c r="M37" s="2312">
        <f>IF(แหล่งวัสดุ!$L$32=1,IF(D37&lt;=200,VLOOKUP(D37,'S2'!B$5:'S2'!F$204,3),IF(D37&gt;200,(D37-200)*'S2'!D$205+'S2'!D$204)),IF(แหล่งวัสดุ!$L$32=2,IF(D37&lt;=200,VLOOKUP(D37,'S2'!B$5:'S2'!F$204,5),IF(D37&gt;200,(D37-200)*'S2'!F$205+'S2'!F$204))))</f>
        <v>11.05</v>
      </c>
      <c r="N37" s="2032" t="s">
        <v>49</v>
      </c>
      <c r="AG37" s="353"/>
      <c r="AH37" s="353"/>
    </row>
    <row r="38" spans="1:34" ht="17.25" customHeight="1">
      <c r="B38" s="395" t="s">
        <v>2007</v>
      </c>
      <c r="C38" s="395"/>
      <c r="D38" s="395"/>
      <c r="G38" s="375"/>
      <c r="I38" s="205"/>
      <c r="L38" s="377" t="s">
        <v>14</v>
      </c>
      <c r="M38" s="2312">
        <f>+(M36+M37)*1.25</f>
        <v>23.987500000000001</v>
      </c>
      <c r="N38" s="352" t="s">
        <v>49</v>
      </c>
      <c r="AG38" s="353"/>
      <c r="AH38" s="353"/>
    </row>
    <row r="39" spans="1:34" ht="17.25" customHeight="1">
      <c r="B39" s="395" t="s">
        <v>2010</v>
      </c>
      <c r="C39" s="395"/>
      <c r="D39" s="1956"/>
      <c r="E39" s="1956"/>
      <c r="F39" s="2131"/>
      <c r="I39" s="205"/>
      <c r="L39" s="377" t="s">
        <v>14</v>
      </c>
      <c r="M39" s="2312">
        <f>+'S2'!BF38</f>
        <v>20.92</v>
      </c>
      <c r="N39" s="352" t="s">
        <v>49</v>
      </c>
      <c r="AG39" s="353"/>
      <c r="AH39" s="353"/>
    </row>
    <row r="40" spans="1:34" ht="17.25" customHeight="1">
      <c r="B40" s="395"/>
      <c r="C40" s="395"/>
      <c r="D40" s="395" t="s">
        <v>1475</v>
      </c>
      <c r="I40" s="205"/>
      <c r="L40" s="377" t="s">
        <v>14</v>
      </c>
      <c r="M40" s="2313">
        <f>ROUND(SUM(M38:M39),2)</f>
        <v>44.91</v>
      </c>
      <c r="N40" s="352" t="s">
        <v>49</v>
      </c>
      <c r="AG40" s="353"/>
      <c r="AH40" s="353"/>
    </row>
    <row r="41" spans="1:34" ht="17.25" customHeight="1">
      <c r="B41" s="395"/>
      <c r="C41" s="395"/>
      <c r="D41" s="399" t="s">
        <v>2011</v>
      </c>
      <c r="I41" s="205"/>
      <c r="L41" s="377" t="s">
        <v>14</v>
      </c>
      <c r="M41" s="400">
        <f>ROUND(SUM(M40),2)</f>
        <v>44.91</v>
      </c>
      <c r="N41" s="352" t="s">
        <v>54</v>
      </c>
      <c r="AB41" s="353"/>
      <c r="AC41" s="353"/>
      <c r="AD41" s="353"/>
      <c r="AG41" s="353"/>
      <c r="AH41" s="353"/>
    </row>
    <row r="42" spans="1:34" s="1581" customFormat="1" ht="17.25" customHeight="1">
      <c r="A42" s="1583">
        <v>3</v>
      </c>
      <c r="B42" s="2007" t="s">
        <v>2062</v>
      </c>
      <c r="C42" s="1584"/>
      <c r="D42" s="1584"/>
      <c r="E42" s="1584"/>
      <c r="F42" s="1584"/>
      <c r="G42" s="1584"/>
      <c r="H42" s="1584"/>
      <c r="I42" s="1584"/>
      <c r="J42" s="1584"/>
      <c r="K42" s="1584"/>
      <c r="L42" s="1584"/>
      <c r="M42" s="1584"/>
      <c r="N42" s="1584"/>
      <c r="O42" s="1584"/>
      <c r="AB42" s="353"/>
      <c r="AC42" s="353"/>
      <c r="AD42" s="353"/>
      <c r="AG42" s="353"/>
      <c r="AH42" s="353"/>
    </row>
    <row r="43" spans="1:34" s="1581" customFormat="1" ht="17.25" customHeight="1">
      <c r="A43" s="395" t="s">
        <v>115</v>
      </c>
      <c r="B43" s="395"/>
      <c r="C43" s="395"/>
      <c r="H43" s="205"/>
      <c r="K43" s="1584"/>
      <c r="L43" s="377" t="s">
        <v>14</v>
      </c>
      <c r="M43" s="2312">
        <f>+H17</f>
        <v>476.64</v>
      </c>
      <c r="N43" s="1581" t="s">
        <v>49</v>
      </c>
      <c r="O43" s="1584"/>
      <c r="AB43" s="353"/>
      <c r="AC43" s="353"/>
      <c r="AD43" s="353"/>
      <c r="AG43" s="353"/>
      <c r="AH43" s="353"/>
    </row>
    <row r="44" spans="1:34" s="1581" customFormat="1" ht="17.25" customHeight="1">
      <c r="A44" s="395" t="s">
        <v>116</v>
      </c>
      <c r="B44" s="395"/>
      <c r="C44" s="395"/>
      <c r="F44" s="375"/>
      <c r="H44" s="205"/>
      <c r="K44" s="1584"/>
      <c r="L44" s="377" t="s">
        <v>14</v>
      </c>
      <c r="M44" s="2312">
        <f>+'S2'!BE41</f>
        <v>38.520000000000003</v>
      </c>
      <c r="N44" s="1581" t="s">
        <v>49</v>
      </c>
      <c r="O44" s="1584"/>
      <c r="P44" s="381"/>
      <c r="AB44" s="353"/>
      <c r="AC44" s="353"/>
      <c r="AD44" s="353"/>
      <c r="AG44" s="353"/>
      <c r="AH44" s="353"/>
    </row>
    <row r="45" spans="1:34" s="1581" customFormat="1" ht="17.25" customHeight="1">
      <c r="A45" s="395" t="s">
        <v>117</v>
      </c>
      <c r="B45" s="395"/>
      <c r="C45" s="395"/>
      <c r="D45" s="1956" t="s">
        <v>1924</v>
      </c>
      <c r="E45" s="1956"/>
      <c r="F45" s="2293">
        <f>+แหล่งวัสดุ!N53</f>
        <v>1</v>
      </c>
      <c r="H45" s="205"/>
      <c r="K45" s="1584"/>
      <c r="L45" s="377" t="s">
        <v>14</v>
      </c>
      <c r="M45" s="2312">
        <f>+M17*F45</f>
        <v>472.35</v>
      </c>
      <c r="N45" s="1581" t="s">
        <v>49</v>
      </c>
      <c r="O45" s="1584"/>
      <c r="AB45" s="353"/>
      <c r="AC45" s="353"/>
      <c r="AD45" s="353"/>
      <c r="AG45" s="353"/>
      <c r="AH45" s="353"/>
    </row>
    <row r="46" spans="1:34" s="2210" customFormat="1" ht="17.25" customHeight="1">
      <c r="A46" s="395" t="s">
        <v>2065</v>
      </c>
      <c r="B46" s="395"/>
      <c r="C46" s="395"/>
      <c r="F46" s="2326"/>
      <c r="H46" s="205"/>
      <c r="K46" s="1584"/>
      <c r="L46" s="377" t="s">
        <v>14</v>
      </c>
      <c r="M46" s="2312">
        <v>74.680000000000007</v>
      </c>
      <c r="N46" s="2210" t="s">
        <v>49</v>
      </c>
      <c r="O46" s="1584"/>
      <c r="AB46" s="353"/>
      <c r="AC46" s="353"/>
      <c r="AD46" s="353"/>
      <c r="AG46" s="353"/>
      <c r="AH46" s="353"/>
    </row>
    <row r="47" spans="1:34" s="2210" customFormat="1" ht="17.25" customHeight="1">
      <c r="A47" s="395" t="s">
        <v>2066</v>
      </c>
      <c r="B47" s="395"/>
      <c r="C47" s="395"/>
      <c r="F47" s="2326"/>
      <c r="H47" s="205"/>
      <c r="K47" s="1584"/>
      <c r="L47" s="377" t="s">
        <v>14</v>
      </c>
      <c r="M47" s="2312">
        <v>224.38</v>
      </c>
      <c r="N47" s="2210" t="s">
        <v>49</v>
      </c>
      <c r="O47" s="1584"/>
      <c r="AB47" s="353"/>
      <c r="AC47" s="353"/>
      <c r="AD47" s="353"/>
      <c r="AG47" s="353"/>
      <c r="AH47" s="353"/>
    </row>
    <row r="48" spans="1:34" s="2210" customFormat="1" ht="17.25" customHeight="1">
      <c r="A48" s="395"/>
      <c r="B48" s="395"/>
      <c r="C48" s="395"/>
      <c r="D48" s="399" t="s">
        <v>2063</v>
      </c>
      <c r="F48" s="2326"/>
      <c r="H48" s="205"/>
      <c r="J48" s="377" t="s">
        <v>28</v>
      </c>
      <c r="K48" s="1584"/>
      <c r="L48" s="377" t="s">
        <v>14</v>
      </c>
      <c r="M48" s="2327">
        <f>SUM(M43:M46)</f>
        <v>1062.19</v>
      </c>
      <c r="N48" s="2210" t="s">
        <v>49</v>
      </c>
      <c r="O48" s="1584"/>
      <c r="AB48" s="353"/>
      <c r="AC48" s="353"/>
      <c r="AD48" s="353"/>
      <c r="AG48" s="353"/>
      <c r="AH48" s="353"/>
    </row>
    <row r="49" spans="1:34" s="1581" customFormat="1" ht="17.25" customHeight="1">
      <c r="A49" s="395"/>
      <c r="B49" s="395"/>
      <c r="C49" s="395"/>
      <c r="D49" s="399" t="s">
        <v>2064</v>
      </c>
      <c r="H49" s="205"/>
      <c r="J49" s="377" t="s">
        <v>28</v>
      </c>
      <c r="K49" s="377"/>
      <c r="L49" s="377" t="s">
        <v>14</v>
      </c>
      <c r="M49" s="2327">
        <f>SUM(M43:M45)+M47</f>
        <v>1211.8899999999999</v>
      </c>
      <c r="N49" s="1581" t="s">
        <v>49</v>
      </c>
      <c r="O49" s="1584"/>
      <c r="AB49" s="353"/>
      <c r="AC49" s="353"/>
      <c r="AD49" s="353"/>
      <c r="AG49" s="353"/>
      <c r="AH49" s="353"/>
    </row>
    <row r="50" spans="1:34" ht="17.25" customHeight="1">
      <c r="A50" s="368">
        <v>4</v>
      </c>
      <c r="B50" s="392" t="s">
        <v>515</v>
      </c>
      <c r="C50" s="393"/>
      <c r="D50" s="394"/>
      <c r="I50" s="205"/>
      <c r="AB50" s="353"/>
      <c r="AC50" s="353"/>
      <c r="AD50" s="353"/>
      <c r="AG50" s="353"/>
      <c r="AH50" s="353"/>
    </row>
    <row r="51" spans="1:34" ht="17.25" customHeight="1">
      <c r="B51" s="395" t="s">
        <v>115</v>
      </c>
      <c r="C51" s="395"/>
      <c r="D51" s="395"/>
      <c r="I51" s="205"/>
      <c r="L51" s="377" t="s">
        <v>14</v>
      </c>
      <c r="M51" s="2312">
        <f>H19</f>
        <v>35</v>
      </c>
      <c r="N51" s="352" t="s">
        <v>49</v>
      </c>
      <c r="AB51" s="353"/>
      <c r="AC51" s="353"/>
      <c r="AD51" s="353"/>
      <c r="AG51" s="353"/>
      <c r="AH51" s="353"/>
    </row>
    <row r="52" spans="1:34" ht="17.25" customHeight="1">
      <c r="B52" s="395" t="s">
        <v>116</v>
      </c>
      <c r="C52" s="395"/>
      <c r="D52" s="395"/>
      <c r="G52" s="375"/>
      <c r="I52" s="205"/>
      <c r="L52" s="377" t="s">
        <v>14</v>
      </c>
      <c r="M52" s="2312">
        <f>'S2'!$BF$5</f>
        <v>31.58</v>
      </c>
      <c r="N52" s="352" t="s">
        <v>49</v>
      </c>
      <c r="P52" s="353"/>
      <c r="Q52" s="353"/>
      <c r="R52" s="353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  <c r="AC52" s="353"/>
      <c r="AD52" s="353"/>
      <c r="AG52" s="353"/>
      <c r="AH52" s="353"/>
    </row>
    <row r="53" spans="1:34" ht="17.25" customHeight="1">
      <c r="B53" s="395" t="s">
        <v>117</v>
      </c>
      <c r="C53" s="395"/>
      <c r="D53" s="1956" t="s">
        <v>1924</v>
      </c>
      <c r="E53" s="1956"/>
      <c r="F53" s="2293">
        <f>+แหล่งวัสดุ!N69</f>
        <v>1</v>
      </c>
      <c r="I53" s="205"/>
      <c r="L53" s="377" t="s">
        <v>14</v>
      </c>
      <c r="M53" s="2312">
        <f>M19*F53</f>
        <v>61.32</v>
      </c>
      <c r="N53" s="352" t="s">
        <v>49</v>
      </c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G53" s="353"/>
      <c r="AH53" s="353"/>
    </row>
    <row r="54" spans="1:34" ht="17.25" customHeight="1">
      <c r="B54" s="395"/>
      <c r="C54" s="395"/>
      <c r="D54" s="395" t="s">
        <v>513</v>
      </c>
      <c r="I54" s="205"/>
      <c r="L54" s="377" t="s">
        <v>14</v>
      </c>
      <c r="M54" s="2313">
        <f>ROUND(SUM(M51:M53),2)</f>
        <v>127.9</v>
      </c>
      <c r="N54" s="352" t="s">
        <v>49</v>
      </c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G54" s="353"/>
      <c r="AH54" s="353"/>
    </row>
    <row r="55" spans="1:34" ht="17.25" customHeight="1">
      <c r="B55" s="395"/>
      <c r="C55" s="395"/>
      <c r="H55" s="395" t="s">
        <v>189</v>
      </c>
      <c r="I55" s="397">
        <v>1.6</v>
      </c>
      <c r="L55" s="377" t="s">
        <v>14</v>
      </c>
      <c r="M55" s="2320">
        <f>ROUND(I55*M54,2)</f>
        <v>204.64</v>
      </c>
      <c r="N55" s="352" t="s">
        <v>54</v>
      </c>
      <c r="O55" s="353"/>
      <c r="P55" s="353"/>
      <c r="Q55" s="353"/>
      <c r="R55" s="353"/>
      <c r="S55" s="353"/>
      <c r="T55" s="353"/>
      <c r="U55" s="353"/>
      <c r="V55" s="353"/>
      <c r="W55" s="353"/>
      <c r="X55" s="353"/>
      <c r="Y55" s="353"/>
      <c r="Z55" s="353"/>
      <c r="AA55" s="353"/>
      <c r="AB55" s="353"/>
      <c r="AC55" s="353"/>
      <c r="AD55" s="353"/>
      <c r="AG55" s="353"/>
      <c r="AH55" s="353"/>
    </row>
    <row r="56" spans="1:34" ht="17.25" customHeight="1">
      <c r="B56" s="395" t="s">
        <v>118</v>
      </c>
      <c r="C56" s="395"/>
      <c r="D56" s="395"/>
      <c r="I56" s="205"/>
      <c r="L56" s="377" t="s">
        <v>14</v>
      </c>
      <c r="M56" s="2312">
        <f>'S2'!$BF$7</f>
        <v>54.58</v>
      </c>
      <c r="N56" s="352" t="s">
        <v>54</v>
      </c>
      <c r="O56" s="353"/>
      <c r="P56" s="353"/>
      <c r="Q56" s="353"/>
      <c r="R56" s="353"/>
      <c r="S56" s="353"/>
      <c r="T56" s="353"/>
      <c r="U56" s="353"/>
      <c r="V56" s="353"/>
      <c r="W56" s="353"/>
      <c r="X56" s="353"/>
      <c r="Y56" s="353"/>
      <c r="Z56" s="353"/>
      <c r="AA56" s="353"/>
      <c r="AB56" s="353"/>
      <c r="AC56" s="353"/>
      <c r="AD56" s="353"/>
      <c r="AG56" s="353"/>
      <c r="AH56" s="353"/>
    </row>
    <row r="57" spans="1:34" ht="17.25" customHeight="1">
      <c r="B57" s="395"/>
      <c r="C57" s="395"/>
      <c r="D57" s="399" t="s">
        <v>512</v>
      </c>
      <c r="I57" s="205"/>
      <c r="L57" s="377" t="s">
        <v>14</v>
      </c>
      <c r="M57" s="400">
        <f>ROUND(SUM(M55:M56),2)</f>
        <v>259.22000000000003</v>
      </c>
      <c r="N57" s="352" t="s">
        <v>54</v>
      </c>
      <c r="O57" s="353"/>
      <c r="P57" s="353"/>
      <c r="Q57" s="353"/>
      <c r="R57" s="353"/>
      <c r="S57" s="353"/>
      <c r="T57" s="353"/>
      <c r="U57" s="353"/>
      <c r="V57" s="353"/>
      <c r="W57" s="353"/>
      <c r="X57" s="353"/>
      <c r="Y57" s="353"/>
      <c r="Z57" s="353"/>
      <c r="AA57" s="353"/>
      <c r="AB57" s="353"/>
      <c r="AC57" s="353"/>
      <c r="AD57" s="353"/>
    </row>
    <row r="58" spans="1:34" ht="16.5" customHeight="1">
      <c r="A58" s="368">
        <v>5</v>
      </c>
      <c r="B58" s="391" t="s">
        <v>516</v>
      </c>
      <c r="C58" s="368"/>
      <c r="I58" s="205"/>
      <c r="L58" s="377"/>
      <c r="M58" s="401"/>
      <c r="O58" s="353"/>
      <c r="P58" s="353"/>
      <c r="Q58" s="353"/>
      <c r="R58" s="353"/>
      <c r="S58" s="353"/>
      <c r="T58" s="353"/>
      <c r="U58" s="353"/>
      <c r="V58" s="353"/>
      <c r="W58" s="353"/>
      <c r="X58" s="353"/>
      <c r="Y58" s="353"/>
      <c r="Z58" s="353"/>
      <c r="AA58" s="353"/>
      <c r="AB58" s="353"/>
      <c r="AC58" s="353"/>
      <c r="AD58" s="353"/>
    </row>
    <row r="59" spans="1:34" ht="16.5" customHeight="1">
      <c r="B59" s="352" t="s">
        <v>190</v>
      </c>
      <c r="I59" s="205"/>
      <c r="L59" s="377" t="s">
        <v>14</v>
      </c>
      <c r="M59" s="2320">
        <f>H11</f>
        <v>373.83</v>
      </c>
      <c r="N59" s="352" t="s">
        <v>49</v>
      </c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</row>
    <row r="60" spans="1:34" ht="16.5" customHeight="1">
      <c r="B60" s="352" t="s">
        <v>117</v>
      </c>
      <c r="D60" s="352" t="s">
        <v>1924</v>
      </c>
      <c r="F60" s="2293">
        <f>+แหล่งวัสดุ!N53</f>
        <v>1</v>
      </c>
      <c r="I60" s="205"/>
      <c r="L60" s="377" t="s">
        <v>14</v>
      </c>
      <c r="M60" s="2320">
        <f>M11*F60</f>
        <v>151.05000000000001</v>
      </c>
      <c r="N60" s="352" t="s">
        <v>49</v>
      </c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</row>
    <row r="61" spans="1:34" ht="16.5" customHeight="1">
      <c r="D61" s="395" t="s">
        <v>513</v>
      </c>
      <c r="I61" s="205"/>
      <c r="L61" s="377" t="s">
        <v>14</v>
      </c>
      <c r="M61" s="2313">
        <f>ROUND(SUM(M59:M60),2)</f>
        <v>524.88</v>
      </c>
      <c r="N61" s="352" t="s">
        <v>49</v>
      </c>
      <c r="O61" s="353"/>
      <c r="P61" s="353"/>
      <c r="Q61" s="353"/>
      <c r="R61" s="353"/>
      <c r="S61" s="353"/>
      <c r="T61" s="353"/>
      <c r="U61" s="353"/>
      <c r="V61" s="353"/>
      <c r="W61" s="353"/>
      <c r="X61" s="353"/>
      <c r="Y61" s="353"/>
      <c r="Z61" s="353"/>
      <c r="AA61" s="353"/>
      <c r="AB61" s="353"/>
      <c r="AC61" s="353"/>
      <c r="AD61" s="353"/>
    </row>
    <row r="62" spans="1:34" ht="16.5" customHeight="1">
      <c r="H62" s="395" t="s">
        <v>189</v>
      </c>
      <c r="I62" s="397">
        <v>1.5</v>
      </c>
      <c r="L62" s="377" t="s">
        <v>14</v>
      </c>
      <c r="M62" s="2320">
        <f>ROUND(I62*M61,2)</f>
        <v>787.32</v>
      </c>
      <c r="N62" s="352" t="s">
        <v>54</v>
      </c>
      <c r="O62" s="353"/>
      <c r="P62" s="353"/>
      <c r="Q62" s="353"/>
      <c r="R62" s="353"/>
      <c r="S62" s="353"/>
      <c r="T62" s="353"/>
      <c r="U62" s="353"/>
      <c r="V62" s="353"/>
      <c r="W62" s="353"/>
      <c r="X62" s="353"/>
      <c r="Y62" s="353"/>
      <c r="Z62" s="353"/>
      <c r="AA62" s="353"/>
      <c r="AB62" s="353"/>
      <c r="AC62" s="353"/>
      <c r="AD62" s="353"/>
    </row>
    <row r="63" spans="1:34" ht="16.5" customHeight="1">
      <c r="B63" s="395" t="s">
        <v>148</v>
      </c>
      <c r="C63" s="395"/>
      <c r="D63" s="395"/>
      <c r="I63" s="205"/>
      <c r="L63" s="377" t="s">
        <v>14</v>
      </c>
      <c r="M63" s="2312">
        <f>+'S2'!$BF$9</f>
        <v>24.76</v>
      </c>
      <c r="N63" s="352" t="s">
        <v>54</v>
      </c>
      <c r="O63" s="353"/>
      <c r="P63" s="353"/>
      <c r="Q63" s="353"/>
      <c r="R63" s="353"/>
      <c r="S63" s="353"/>
      <c r="T63" s="353"/>
      <c r="U63" s="353"/>
      <c r="V63" s="353"/>
      <c r="W63" s="353"/>
      <c r="X63" s="353"/>
      <c r="Y63" s="353"/>
      <c r="Z63" s="353"/>
      <c r="AA63" s="353"/>
      <c r="AB63" s="353"/>
      <c r="AC63" s="353"/>
      <c r="AD63" s="353"/>
    </row>
    <row r="64" spans="1:34" ht="16.5" customHeight="1">
      <c r="B64" s="395" t="s">
        <v>118</v>
      </c>
      <c r="C64" s="395"/>
      <c r="D64" s="395"/>
      <c r="I64" s="205"/>
      <c r="L64" s="377" t="s">
        <v>14</v>
      </c>
      <c r="M64" s="2312">
        <f>+'S2'!$BF$10</f>
        <v>88.31</v>
      </c>
      <c r="N64" s="352" t="s">
        <v>54</v>
      </c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</row>
    <row r="65" spans="1:30" ht="16.5" customHeight="1">
      <c r="B65" s="395"/>
      <c r="C65" s="395"/>
      <c r="D65" s="399" t="s">
        <v>512</v>
      </c>
      <c r="I65" s="205"/>
      <c r="L65" s="377" t="s">
        <v>14</v>
      </c>
      <c r="M65" s="400">
        <f>ROUND(SUM(M62:M64),2)</f>
        <v>900.39</v>
      </c>
      <c r="N65" s="352" t="s">
        <v>54</v>
      </c>
      <c r="O65" s="353"/>
      <c r="P65" s="353"/>
      <c r="Q65" s="353"/>
      <c r="R65" s="353"/>
      <c r="S65" s="353"/>
      <c r="T65" s="353"/>
      <c r="U65" s="353"/>
      <c r="V65" s="353"/>
      <c r="W65" s="353"/>
      <c r="X65" s="353"/>
      <c r="Y65" s="353"/>
      <c r="Z65" s="353"/>
      <c r="AA65" s="353"/>
      <c r="AB65" s="353"/>
      <c r="AC65" s="353"/>
      <c r="AD65" s="353"/>
    </row>
    <row r="66" spans="1:30" ht="16.5" customHeight="1">
      <c r="A66" s="368">
        <v>6</v>
      </c>
      <c r="B66" s="391" t="s">
        <v>522</v>
      </c>
      <c r="C66" s="368"/>
      <c r="E66" s="402"/>
      <c r="G66" s="403"/>
      <c r="I66" s="205"/>
      <c r="O66" s="353"/>
      <c r="P66" s="353"/>
      <c r="Q66" s="353"/>
      <c r="R66" s="353"/>
      <c r="S66" s="353"/>
      <c r="T66" s="353"/>
      <c r="U66" s="353"/>
      <c r="V66" s="353"/>
      <c r="W66" s="353"/>
      <c r="X66" s="353"/>
      <c r="Y66" s="353"/>
      <c r="Z66" s="353"/>
      <c r="AA66" s="353"/>
      <c r="AB66" s="353"/>
      <c r="AC66" s="353"/>
      <c r="AD66" s="353"/>
    </row>
    <row r="67" spans="1:30" ht="16.5" customHeight="1">
      <c r="B67" s="352" t="s">
        <v>191</v>
      </c>
      <c r="I67" s="205"/>
      <c r="O67" s="353"/>
      <c r="P67" s="353"/>
      <c r="Q67" s="353"/>
      <c r="R67" s="353"/>
      <c r="S67" s="353"/>
      <c r="T67" s="353"/>
      <c r="U67" s="353"/>
      <c r="V67" s="353"/>
      <c r="W67" s="353"/>
      <c r="X67" s="353"/>
      <c r="Y67" s="353"/>
      <c r="Z67" s="353"/>
      <c r="AA67" s="353"/>
      <c r="AB67" s="353"/>
      <c r="AC67" s="353"/>
      <c r="AD67" s="353"/>
    </row>
    <row r="68" spans="1:30" ht="16.5" customHeight="1">
      <c r="B68" s="352" t="s">
        <v>16</v>
      </c>
      <c r="I68" s="205"/>
      <c r="L68" s="377" t="s">
        <v>14</v>
      </c>
      <c r="M68" s="2312">
        <f>'S2'!$BF$14</f>
        <v>11.12</v>
      </c>
      <c r="N68" s="352" t="s">
        <v>15</v>
      </c>
      <c r="O68" s="353"/>
      <c r="P68" s="353"/>
      <c r="Q68" s="353"/>
      <c r="R68" s="353"/>
      <c r="S68" s="353"/>
      <c r="T68" s="353"/>
      <c r="U68" s="353"/>
      <c r="V68" s="353"/>
      <c r="W68" s="353"/>
      <c r="X68" s="353"/>
      <c r="Y68" s="353"/>
      <c r="Z68" s="353"/>
      <c r="AA68" s="353"/>
      <c r="AB68" s="353"/>
      <c r="AC68" s="353"/>
      <c r="AD68" s="353"/>
    </row>
    <row r="69" spans="1:30" ht="16.5" customHeight="1">
      <c r="B69" s="352" t="s">
        <v>173</v>
      </c>
      <c r="H69" s="404"/>
      <c r="I69" s="2339">
        <v>0.2</v>
      </c>
      <c r="J69" s="352" t="s">
        <v>46</v>
      </c>
      <c r="L69" s="377" t="s">
        <v>14</v>
      </c>
      <c r="M69" s="2312">
        <f>'S2'!$BF$13*2</f>
        <v>28.26</v>
      </c>
      <c r="N69" s="352" t="s">
        <v>15</v>
      </c>
      <c r="P69" s="353"/>
      <c r="Q69" s="353"/>
      <c r="R69" s="353"/>
      <c r="S69" s="353"/>
      <c r="T69" s="353"/>
      <c r="U69" s="353"/>
      <c r="V69" s="353"/>
      <c r="W69" s="353"/>
      <c r="X69" s="353"/>
      <c r="Y69" s="353"/>
      <c r="Z69" s="353"/>
      <c r="AA69" s="353"/>
      <c r="AB69" s="353"/>
      <c r="AC69" s="353"/>
      <c r="AD69" s="353"/>
    </row>
    <row r="70" spans="1:30" ht="16.5" customHeight="1">
      <c r="B70" s="352" t="s">
        <v>210</v>
      </c>
      <c r="H70" s="404"/>
      <c r="I70" s="2339">
        <v>0.2</v>
      </c>
      <c r="J70" s="352" t="s">
        <v>46</v>
      </c>
      <c r="L70" s="377" t="s">
        <v>14</v>
      </c>
      <c r="M70" s="2312">
        <f>'S2'!$BF$12*2</f>
        <v>21.52</v>
      </c>
      <c r="N70" s="352" t="s">
        <v>15</v>
      </c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</row>
    <row r="71" spans="1:30" ht="16.5" customHeight="1">
      <c r="B71" s="352" t="s">
        <v>2069</v>
      </c>
      <c r="H71" s="404"/>
      <c r="I71" s="2340">
        <v>0.2</v>
      </c>
      <c r="J71" s="352" t="s">
        <v>46</v>
      </c>
      <c r="L71" s="377" t="s">
        <v>14</v>
      </c>
      <c r="M71" s="2338">
        <f>$M$62*$I$71</f>
        <v>157.46400000000003</v>
      </c>
      <c r="N71" s="352" t="s">
        <v>15</v>
      </c>
      <c r="P71" s="2341"/>
      <c r="Q71" s="353"/>
      <c r="R71" s="353"/>
      <c r="S71" s="353"/>
      <c r="T71" s="353"/>
      <c r="U71" s="353"/>
      <c r="V71" s="353"/>
      <c r="W71" s="353"/>
      <c r="X71" s="353"/>
      <c r="Y71" s="353"/>
      <c r="Z71" s="353"/>
      <c r="AA71" s="353"/>
      <c r="AB71" s="353"/>
      <c r="AC71" s="353"/>
      <c r="AD71" s="353"/>
    </row>
    <row r="72" spans="1:30" ht="16.5" customHeight="1">
      <c r="B72" s="352" t="s">
        <v>211</v>
      </c>
      <c r="I72" s="405">
        <f>I69</f>
        <v>0.2</v>
      </c>
      <c r="J72" s="352" t="str">
        <f>J69</f>
        <v>ม. )</v>
      </c>
      <c r="L72" s="377" t="s">
        <v>14</v>
      </c>
      <c r="M72" s="2312">
        <f>('S2'!$BF$10+'S2'!$BF$9)*$I$72</f>
        <v>22.614000000000004</v>
      </c>
      <c r="N72" s="352" t="s">
        <v>15</v>
      </c>
      <c r="P72" s="353"/>
      <c r="Q72" s="353"/>
      <c r="R72" s="353"/>
      <c r="S72" s="353"/>
      <c r="T72" s="353"/>
      <c r="U72" s="353"/>
      <c r="V72" s="353"/>
      <c r="W72" s="353"/>
      <c r="X72" s="353"/>
      <c r="Y72" s="353"/>
      <c r="Z72" s="353"/>
      <c r="AA72" s="353"/>
      <c r="AB72" s="353"/>
      <c r="AC72" s="353"/>
      <c r="AD72" s="353"/>
    </row>
    <row r="73" spans="1:30" ht="16.5" customHeight="1">
      <c r="B73" s="406" t="s">
        <v>2070</v>
      </c>
      <c r="C73" s="406"/>
      <c r="I73" s="405">
        <f>I70</f>
        <v>0.2</v>
      </c>
      <c r="J73" s="352" t="str">
        <f>J70</f>
        <v>ม. )</v>
      </c>
      <c r="L73" s="377" t="s">
        <v>14</v>
      </c>
      <c r="M73" s="2312">
        <f>('S2'!$BF$10+'S2'!$BF$9)*I73</f>
        <v>22.614000000000004</v>
      </c>
      <c r="N73" s="352" t="s">
        <v>15</v>
      </c>
      <c r="P73" s="353"/>
      <c r="Q73" s="353"/>
      <c r="R73" s="353"/>
      <c r="S73" s="353"/>
      <c r="T73" s="353"/>
      <c r="U73" s="353"/>
      <c r="V73" s="353"/>
      <c r="W73" s="353"/>
      <c r="X73" s="353"/>
      <c r="Y73" s="353"/>
      <c r="Z73" s="353"/>
      <c r="AA73" s="353"/>
      <c r="AB73" s="353"/>
      <c r="AC73" s="353"/>
      <c r="AD73" s="353"/>
    </row>
    <row r="74" spans="1:30" ht="16.5" customHeight="1">
      <c r="D74" s="407" t="s">
        <v>512</v>
      </c>
      <c r="L74" s="377" t="s">
        <v>14</v>
      </c>
      <c r="M74" s="400">
        <f>ROUND(SUM(M68:M73),2)</f>
        <v>263.58999999999997</v>
      </c>
      <c r="N74" s="352" t="s">
        <v>15</v>
      </c>
      <c r="P74" s="353"/>
      <c r="Q74" s="353"/>
      <c r="R74" s="353"/>
      <c r="S74" s="353"/>
      <c r="T74" s="353"/>
      <c r="U74" s="353"/>
      <c r="V74" s="353"/>
      <c r="W74" s="353"/>
      <c r="X74" s="353"/>
      <c r="Y74" s="353"/>
      <c r="Z74" s="353"/>
      <c r="AA74" s="353"/>
      <c r="AB74" s="353"/>
      <c r="AC74" s="353"/>
      <c r="AD74" s="353"/>
    </row>
    <row r="75" spans="1:30" ht="18" customHeight="1">
      <c r="A75" s="368">
        <v>7</v>
      </c>
      <c r="B75" s="391" t="s">
        <v>1238</v>
      </c>
      <c r="C75" s="368"/>
      <c r="D75" s="408"/>
      <c r="E75" s="408"/>
      <c r="L75" s="377"/>
      <c r="M75" s="401"/>
      <c r="O75" s="353"/>
      <c r="P75" s="353"/>
      <c r="Q75" s="353"/>
      <c r="R75" s="353"/>
      <c r="S75" s="353"/>
      <c r="T75" s="353"/>
      <c r="U75" s="353"/>
      <c r="V75" s="353"/>
      <c r="W75" s="353"/>
      <c r="X75" s="353"/>
      <c r="Y75" s="353"/>
      <c r="Z75" s="353"/>
      <c r="AA75" s="353"/>
      <c r="AB75" s="353"/>
      <c r="AC75" s="353"/>
      <c r="AD75" s="353"/>
    </row>
    <row r="76" spans="1:30" ht="16.5" customHeight="1">
      <c r="B76" s="352" t="s">
        <v>190</v>
      </c>
      <c r="L76" s="377" t="s">
        <v>14</v>
      </c>
      <c r="M76" s="2320">
        <f>H11</f>
        <v>373.83</v>
      </c>
      <c r="N76" s="352" t="s">
        <v>49</v>
      </c>
      <c r="O76" s="353"/>
      <c r="P76" s="353"/>
      <c r="Q76" s="353"/>
      <c r="R76" s="353"/>
      <c r="S76" s="353"/>
      <c r="T76" s="353"/>
      <c r="U76" s="353"/>
      <c r="V76" s="353"/>
      <c r="W76" s="353"/>
      <c r="X76" s="353"/>
      <c r="Y76" s="353"/>
      <c r="Z76" s="353"/>
      <c r="AA76" s="353"/>
      <c r="AB76" s="353"/>
      <c r="AC76" s="353"/>
      <c r="AD76" s="353"/>
    </row>
    <row r="77" spans="1:30" ht="16.5" customHeight="1">
      <c r="B77" s="352" t="s">
        <v>117</v>
      </c>
      <c r="D77" s="1956" t="s">
        <v>1924</v>
      </c>
      <c r="E77" s="1956"/>
      <c r="F77" s="2293">
        <f>+แหล่งวัสดุ!N53</f>
        <v>1</v>
      </c>
      <c r="L77" s="377" t="s">
        <v>14</v>
      </c>
      <c r="M77" s="2320">
        <f>M11*F77</f>
        <v>151.05000000000001</v>
      </c>
      <c r="N77" s="352" t="s">
        <v>49</v>
      </c>
      <c r="O77" s="353"/>
      <c r="P77" s="353"/>
      <c r="Q77" s="353"/>
      <c r="R77" s="353"/>
      <c r="S77" s="353"/>
      <c r="T77" s="353"/>
      <c r="U77" s="353"/>
      <c r="V77" s="353"/>
      <c r="W77" s="353"/>
      <c r="X77" s="353"/>
      <c r="Y77" s="353"/>
      <c r="Z77" s="353"/>
      <c r="AA77" s="353"/>
      <c r="AB77" s="353"/>
      <c r="AC77" s="353"/>
      <c r="AD77" s="353"/>
    </row>
    <row r="78" spans="1:30" ht="16.5" customHeight="1">
      <c r="D78" s="407" t="s">
        <v>517</v>
      </c>
      <c r="L78" s="377" t="s">
        <v>14</v>
      </c>
      <c r="M78" s="400">
        <f>ROUND(SUM(M76:M77),2)</f>
        <v>524.88</v>
      </c>
      <c r="N78" s="352" t="s">
        <v>49</v>
      </c>
      <c r="O78" s="353"/>
      <c r="P78" s="353"/>
      <c r="Q78" s="353"/>
      <c r="R78" s="353"/>
      <c r="S78" s="353"/>
      <c r="T78" s="353"/>
      <c r="U78" s="353"/>
      <c r="V78" s="353"/>
      <c r="W78" s="353"/>
      <c r="X78" s="353"/>
      <c r="Y78" s="353"/>
      <c r="Z78" s="353"/>
      <c r="AA78" s="353"/>
      <c r="AB78" s="353"/>
      <c r="AC78" s="353"/>
      <c r="AD78" s="353"/>
    </row>
    <row r="79" spans="1:30" ht="16.5" customHeight="1">
      <c r="A79" s="368">
        <v>8</v>
      </c>
      <c r="B79" s="391" t="s">
        <v>521</v>
      </c>
      <c r="C79" s="368"/>
      <c r="O79" s="353"/>
      <c r="P79" s="353"/>
      <c r="Q79" s="353"/>
      <c r="R79" s="353"/>
      <c r="S79" s="353"/>
      <c r="T79" s="353"/>
      <c r="U79" s="353"/>
      <c r="V79" s="353"/>
      <c r="W79" s="353"/>
      <c r="X79" s="353"/>
      <c r="Y79" s="353"/>
      <c r="Z79" s="353"/>
      <c r="AA79" s="353"/>
      <c r="AB79" s="353"/>
    </row>
    <row r="80" spans="1:30" ht="13.5" customHeight="1">
      <c r="B80" s="352" t="s">
        <v>192</v>
      </c>
      <c r="L80" s="377" t="s">
        <v>14</v>
      </c>
      <c r="M80" s="2338">
        <f>M96</f>
        <v>4.67</v>
      </c>
      <c r="N80" s="352" t="s">
        <v>15</v>
      </c>
      <c r="O80" s="353"/>
      <c r="P80" s="353"/>
      <c r="Q80" s="353"/>
      <c r="R80" s="353"/>
      <c r="S80" s="353"/>
      <c r="T80" s="353"/>
      <c r="U80" s="353"/>
      <c r="V80" s="353"/>
      <c r="W80" s="353"/>
      <c r="X80" s="353"/>
      <c r="Y80" s="353"/>
      <c r="Z80" s="353"/>
      <c r="AA80" s="353"/>
      <c r="AB80" s="353"/>
    </row>
    <row r="81" spans="1:28" ht="16.5" customHeight="1">
      <c r="B81" s="352" t="s">
        <v>193</v>
      </c>
      <c r="F81" s="352" t="s">
        <v>50</v>
      </c>
      <c r="G81" s="409">
        <v>3</v>
      </c>
      <c r="H81" s="352" t="s">
        <v>42</v>
      </c>
      <c r="I81" s="377">
        <f>41.667/$G$81</f>
        <v>13.889000000000001</v>
      </c>
      <c r="J81" s="352" t="s">
        <v>51</v>
      </c>
      <c r="L81" s="377" t="s">
        <v>14</v>
      </c>
      <c r="M81" s="2338">
        <f>$M$126/I81</f>
        <v>208.49765425876589</v>
      </c>
      <c r="N81" s="352" t="s">
        <v>15</v>
      </c>
      <c r="O81" s="353"/>
      <c r="P81" s="353"/>
      <c r="Q81" s="353"/>
      <c r="R81" s="353"/>
      <c r="S81" s="353"/>
      <c r="T81" s="353"/>
      <c r="U81" s="353"/>
      <c r="V81" s="353"/>
      <c r="W81" s="353"/>
      <c r="X81" s="353"/>
      <c r="Y81" s="353"/>
      <c r="Z81" s="353"/>
      <c r="AA81" s="353"/>
      <c r="AB81" s="353"/>
    </row>
    <row r="82" spans="1:28" ht="16.5" customHeight="1">
      <c r="D82" s="352" t="s">
        <v>517</v>
      </c>
      <c r="L82" s="377" t="s">
        <v>14</v>
      </c>
      <c r="M82" s="2338">
        <f>SUM(M80:M81)</f>
        <v>213.16765425876588</v>
      </c>
      <c r="N82" s="352" t="s">
        <v>15</v>
      </c>
      <c r="O82" s="353"/>
      <c r="P82" s="353"/>
      <c r="Q82" s="353"/>
      <c r="R82" s="353"/>
      <c r="S82" s="353"/>
      <c r="T82" s="353"/>
      <c r="U82" s="353"/>
      <c r="V82" s="353"/>
      <c r="W82" s="353"/>
      <c r="X82" s="353"/>
      <c r="Y82" s="353"/>
      <c r="Z82" s="353"/>
      <c r="AA82" s="353"/>
      <c r="AB82" s="353"/>
    </row>
    <row r="83" spans="1:28" ht="16.5" customHeight="1">
      <c r="B83" s="352" t="s">
        <v>194</v>
      </c>
      <c r="L83" s="377" t="s">
        <v>14</v>
      </c>
      <c r="M83" s="2312">
        <f>'S2'!$BF$16+'S2'!$BF$20*0.8</f>
        <v>15.672000000000001</v>
      </c>
      <c r="N83" s="352" t="s">
        <v>15</v>
      </c>
      <c r="O83" s="353"/>
      <c r="P83" s="353"/>
      <c r="Q83" s="353"/>
      <c r="R83" s="353"/>
      <c r="S83" s="353"/>
      <c r="T83" s="353"/>
      <c r="U83" s="353"/>
      <c r="V83" s="353"/>
      <c r="W83" s="353"/>
      <c r="X83" s="353"/>
      <c r="Y83" s="353"/>
      <c r="Z83" s="353"/>
      <c r="AA83" s="353"/>
      <c r="AB83" s="353"/>
    </row>
    <row r="84" spans="1:28" ht="16.5" customHeight="1">
      <c r="D84" s="407" t="s">
        <v>512</v>
      </c>
      <c r="L84" s="377" t="s">
        <v>14</v>
      </c>
      <c r="M84" s="400">
        <f>ROUND(SUM(M82:M83),2)</f>
        <v>228.84</v>
      </c>
      <c r="N84" s="352" t="s">
        <v>15</v>
      </c>
      <c r="O84" s="353"/>
      <c r="P84" s="353"/>
      <c r="Q84" s="353"/>
      <c r="R84" s="353"/>
      <c r="S84" s="353"/>
      <c r="T84" s="353"/>
      <c r="U84" s="353"/>
      <c r="V84" s="353"/>
      <c r="W84" s="353"/>
      <c r="X84" s="353"/>
      <c r="Y84" s="353"/>
      <c r="Z84" s="353"/>
      <c r="AA84" s="353"/>
      <c r="AB84" s="353"/>
    </row>
    <row r="85" spans="1:28" ht="16.5" customHeight="1">
      <c r="A85" s="368">
        <v>9</v>
      </c>
      <c r="B85" s="391" t="s">
        <v>520</v>
      </c>
      <c r="C85" s="368"/>
      <c r="L85" s="377"/>
      <c r="O85" s="353"/>
      <c r="P85" s="353"/>
      <c r="Q85" s="353"/>
      <c r="R85" s="353"/>
      <c r="S85" s="353"/>
      <c r="T85" s="353"/>
      <c r="U85" s="353"/>
      <c r="V85" s="353"/>
      <c r="W85" s="353"/>
      <c r="X85" s="353"/>
      <c r="Y85" s="353"/>
      <c r="Z85" s="353"/>
      <c r="AA85" s="353"/>
      <c r="AB85" s="353"/>
    </row>
    <row r="86" spans="1:28" ht="16.5" customHeight="1">
      <c r="B86" s="352" t="s">
        <v>195</v>
      </c>
      <c r="L86" s="377" t="s">
        <v>14</v>
      </c>
      <c r="M86" s="2338">
        <f>H22</f>
        <v>22515.5</v>
      </c>
      <c r="N86" s="352" t="s">
        <v>9</v>
      </c>
      <c r="O86" s="353"/>
      <c r="P86" s="353"/>
      <c r="Q86" s="353"/>
      <c r="R86" s="353"/>
      <c r="S86" s="353"/>
      <c r="T86" s="353"/>
      <c r="U86" s="353"/>
      <c r="V86" s="353"/>
      <c r="W86" s="353"/>
      <c r="X86" s="353"/>
      <c r="Y86" s="353"/>
      <c r="Z86" s="353"/>
      <c r="AA86" s="353"/>
      <c r="AB86" s="353"/>
    </row>
    <row r="87" spans="1:28" ht="16.5" customHeight="1">
      <c r="B87" s="352" t="s">
        <v>117</v>
      </c>
      <c r="D87" s="1956" t="s">
        <v>1924</v>
      </c>
      <c r="E87" s="1956"/>
      <c r="F87" s="2293">
        <f>+แหล่งวัสดุ!U53</f>
        <v>1</v>
      </c>
      <c r="L87" s="377" t="s">
        <v>14</v>
      </c>
      <c r="M87" s="2337">
        <f>M22*F87</f>
        <v>1628.1899999999998</v>
      </c>
      <c r="N87" s="352" t="s">
        <v>9</v>
      </c>
      <c r="O87" s="353"/>
      <c r="P87" s="353"/>
      <c r="Q87" s="353"/>
      <c r="R87" s="353"/>
      <c r="S87" s="353"/>
      <c r="T87" s="353"/>
      <c r="U87" s="353"/>
      <c r="V87" s="353"/>
      <c r="W87" s="353"/>
      <c r="X87" s="353"/>
      <c r="Y87" s="353"/>
      <c r="Z87" s="353"/>
      <c r="AA87" s="353"/>
      <c r="AB87" s="353"/>
    </row>
    <row r="88" spans="1:28" ht="16.5" customHeight="1">
      <c r="D88" s="352" t="s">
        <v>518</v>
      </c>
      <c r="L88" s="377" t="s">
        <v>14</v>
      </c>
      <c r="M88" s="2313">
        <f>ROUND(SUM(M86:M87),2)</f>
        <v>24143.69</v>
      </c>
      <c r="N88" s="352" t="s">
        <v>9</v>
      </c>
      <c r="P88" s="353"/>
      <c r="Q88" s="353"/>
      <c r="R88" s="353"/>
      <c r="S88" s="353"/>
      <c r="T88" s="353"/>
      <c r="U88" s="353"/>
      <c r="V88" s="353"/>
      <c r="W88" s="353"/>
      <c r="X88" s="353"/>
      <c r="Y88" s="353"/>
    </row>
    <row r="89" spans="1:28" ht="16.5" customHeight="1">
      <c r="H89" s="377" t="s">
        <v>174</v>
      </c>
      <c r="I89" s="397">
        <f>+IF('NO DELETE'!AA34=2,0.8,1)</f>
        <v>1</v>
      </c>
      <c r="J89" s="352" t="s">
        <v>175</v>
      </c>
      <c r="L89" s="377" t="s">
        <v>14</v>
      </c>
      <c r="M89" s="2337">
        <f>ROUND(M88*I89/1000,2)</f>
        <v>24.14</v>
      </c>
      <c r="N89" s="352" t="s">
        <v>15</v>
      </c>
    </row>
    <row r="90" spans="1:28" ht="16.5" customHeight="1">
      <c r="B90" s="352" t="s">
        <v>387</v>
      </c>
      <c r="L90" s="377" t="s">
        <v>14</v>
      </c>
      <c r="M90" s="2312">
        <f>+'S2'!BF15</f>
        <v>6.54</v>
      </c>
      <c r="N90" s="352" t="s">
        <v>15</v>
      </c>
      <c r="O90" s="353"/>
      <c r="P90" s="353"/>
      <c r="Q90" s="353"/>
      <c r="R90" s="353"/>
      <c r="S90" s="353"/>
      <c r="T90" s="353"/>
      <c r="U90" s="353"/>
      <c r="V90" s="353"/>
      <c r="W90" s="353"/>
      <c r="X90" s="353"/>
      <c r="Y90" s="353"/>
      <c r="Z90" s="353"/>
      <c r="AA90" s="353"/>
      <c r="AB90" s="353"/>
    </row>
    <row r="91" spans="1:28" ht="16.5" customHeight="1">
      <c r="D91" s="407" t="s">
        <v>512</v>
      </c>
      <c r="L91" s="377" t="s">
        <v>14</v>
      </c>
      <c r="M91" s="400">
        <f>ROUND(SUM(M89:M90),2)</f>
        <v>30.68</v>
      </c>
      <c r="N91" s="352" t="s">
        <v>15</v>
      </c>
      <c r="O91" s="353"/>
      <c r="P91" s="353"/>
      <c r="Q91" s="353"/>
      <c r="R91" s="353"/>
      <c r="S91" s="353"/>
      <c r="T91" s="353"/>
      <c r="U91" s="353"/>
      <c r="V91" s="353"/>
      <c r="W91" s="353"/>
      <c r="X91" s="353"/>
      <c r="Y91" s="353"/>
      <c r="Z91" s="353"/>
      <c r="AA91" s="353"/>
      <c r="AB91" s="353"/>
    </row>
    <row r="92" spans="1:28" ht="16.5" customHeight="1">
      <c r="A92" s="368">
        <v>10</v>
      </c>
      <c r="B92" s="391" t="s">
        <v>519</v>
      </c>
      <c r="C92" s="368"/>
      <c r="L92" s="377"/>
    </row>
    <row r="93" spans="1:28" ht="16.5" customHeight="1">
      <c r="B93" s="352" t="s">
        <v>195</v>
      </c>
      <c r="L93" s="377" t="s">
        <v>14</v>
      </c>
      <c r="M93" s="2337">
        <f>H24</f>
        <v>21735.5</v>
      </c>
      <c r="N93" s="352" t="s">
        <v>9</v>
      </c>
    </row>
    <row r="94" spans="1:28" ht="16.5" customHeight="1">
      <c r="B94" s="352" t="s">
        <v>117</v>
      </c>
      <c r="D94" s="1956" t="s">
        <v>1924</v>
      </c>
      <c r="E94" s="1956"/>
      <c r="F94" s="2293">
        <f>+แหล่งวัสดุ!U53</f>
        <v>1</v>
      </c>
      <c r="L94" s="377" t="s">
        <v>14</v>
      </c>
      <c r="M94" s="2337">
        <f>M24*F94</f>
        <v>1628.1899999999998</v>
      </c>
      <c r="N94" s="352" t="s">
        <v>9</v>
      </c>
    </row>
    <row r="95" spans="1:28" ht="16.5" customHeight="1">
      <c r="D95" s="352" t="s">
        <v>518</v>
      </c>
      <c r="L95" s="377" t="s">
        <v>14</v>
      </c>
      <c r="M95" s="2313">
        <f>ROUND(SUM(M93:M94),2)</f>
        <v>23363.69</v>
      </c>
      <c r="N95" s="352" t="s">
        <v>9</v>
      </c>
    </row>
    <row r="96" spans="1:28" ht="16.5" customHeight="1">
      <c r="H96" s="377" t="s">
        <v>174</v>
      </c>
      <c r="I96" s="2294">
        <v>0.2</v>
      </c>
      <c r="J96" s="352" t="s">
        <v>175</v>
      </c>
      <c r="L96" s="377" t="s">
        <v>14</v>
      </c>
      <c r="M96" s="2337">
        <f>ROUND(M95*I96/1000,2)</f>
        <v>4.67</v>
      </c>
      <c r="N96" s="352" t="s">
        <v>15</v>
      </c>
      <c r="Q96" s="205"/>
      <c r="R96" s="205"/>
      <c r="S96" s="205"/>
    </row>
    <row r="97" spans="1:28" ht="15" customHeight="1">
      <c r="B97" s="352" t="s">
        <v>388</v>
      </c>
      <c r="L97" s="377" t="s">
        <v>14</v>
      </c>
      <c r="M97" s="2312">
        <f>+'S2'!BF16</f>
        <v>6.44</v>
      </c>
      <c r="N97" s="352" t="s">
        <v>15</v>
      </c>
      <c r="O97" s="353"/>
      <c r="P97" s="353"/>
      <c r="Q97" s="353"/>
      <c r="R97" s="353"/>
      <c r="S97" s="353"/>
      <c r="T97" s="353"/>
      <c r="U97" s="353"/>
      <c r="V97" s="353"/>
      <c r="W97" s="353"/>
      <c r="X97" s="353"/>
      <c r="Y97" s="353"/>
      <c r="Z97" s="353"/>
      <c r="AA97" s="353"/>
      <c r="AB97" s="353"/>
    </row>
    <row r="98" spans="1:28" ht="16.5" customHeight="1">
      <c r="D98" s="407" t="s">
        <v>512</v>
      </c>
      <c r="L98" s="377" t="s">
        <v>14</v>
      </c>
      <c r="M98" s="955">
        <f>ROUND(SUM(M96:M97),2)</f>
        <v>11.11</v>
      </c>
      <c r="N98" s="352" t="s">
        <v>15</v>
      </c>
      <c r="O98" s="353"/>
      <c r="P98" s="353"/>
      <c r="Q98" s="353"/>
      <c r="R98" s="353"/>
      <c r="S98" s="353"/>
      <c r="T98" s="353"/>
      <c r="U98" s="353"/>
      <c r="V98" s="353"/>
      <c r="W98" s="353"/>
      <c r="X98" s="353"/>
      <c r="Y98" s="353"/>
      <c r="Z98" s="353"/>
      <c r="AA98" s="353"/>
      <c r="AB98" s="353"/>
    </row>
    <row r="99" spans="1:28" ht="16.5" customHeight="1">
      <c r="A99" s="368">
        <v>11</v>
      </c>
      <c r="B99" s="392" t="s">
        <v>523</v>
      </c>
      <c r="C99" s="393"/>
      <c r="D99" s="394"/>
    </row>
    <row r="100" spans="1:28" ht="16.5" customHeight="1">
      <c r="B100" s="410" t="s">
        <v>1807</v>
      </c>
      <c r="C100" s="410"/>
      <c r="D100" s="394"/>
    </row>
    <row r="101" spans="1:28" ht="16.5" customHeight="1">
      <c r="E101" s="395" t="s">
        <v>187</v>
      </c>
      <c r="K101" s="377"/>
      <c r="L101" s="381"/>
    </row>
    <row r="102" spans="1:28" ht="16.5" customHeight="1">
      <c r="E102" s="395" t="s">
        <v>176</v>
      </c>
      <c r="J102" s="352" t="s">
        <v>114</v>
      </c>
      <c r="K102" s="377"/>
      <c r="L102" s="381"/>
    </row>
    <row r="103" spans="1:28" ht="16.5" customHeight="1">
      <c r="E103" s="395" t="s">
        <v>177</v>
      </c>
      <c r="J103" s="352" t="s">
        <v>178</v>
      </c>
      <c r="K103" s="377"/>
      <c r="L103" s="381"/>
    </row>
    <row r="104" spans="1:28" ht="16.5" customHeight="1">
      <c r="E104" s="395" t="s">
        <v>179</v>
      </c>
      <c r="H104" s="395"/>
      <c r="J104" s="352" t="s">
        <v>9</v>
      </c>
      <c r="K104" s="377"/>
      <c r="L104" s="381"/>
    </row>
    <row r="105" spans="1:28" ht="16.5" customHeight="1">
      <c r="E105" s="395" t="s">
        <v>180</v>
      </c>
      <c r="J105" s="352" t="s">
        <v>178</v>
      </c>
      <c r="K105" s="377"/>
      <c r="L105" s="381"/>
      <c r="N105" s="411"/>
    </row>
    <row r="106" spans="1:28" ht="16.5" customHeight="1">
      <c r="E106" s="395" t="s">
        <v>181</v>
      </c>
      <c r="H106" s="395"/>
      <c r="J106" s="352" t="s">
        <v>9</v>
      </c>
      <c r="K106" s="377"/>
      <c r="L106" s="381"/>
      <c r="N106" s="411"/>
    </row>
    <row r="107" spans="1:28" ht="16.5" customHeight="1">
      <c r="B107" s="410" t="s">
        <v>1808</v>
      </c>
      <c r="C107" s="410"/>
      <c r="D107" s="394"/>
      <c r="N107" s="411"/>
    </row>
    <row r="108" spans="1:28" ht="16.5" customHeight="1">
      <c r="B108" s="410"/>
      <c r="C108" s="410"/>
      <c r="D108" s="394"/>
      <c r="E108" s="395" t="s">
        <v>504</v>
      </c>
      <c r="I108" s="2342">
        <f>+IF('NO DELETE'!$AB$45=1,'S2'!$BF$27,'S2'!$BF$28)</f>
        <v>36.61</v>
      </c>
      <c r="J108" s="352" t="s">
        <v>114</v>
      </c>
      <c r="N108" s="411"/>
    </row>
    <row r="109" spans="1:28" ht="16.5" customHeight="1">
      <c r="B109" s="410"/>
      <c r="C109" s="410"/>
      <c r="D109" s="394"/>
      <c r="E109" s="395" t="s">
        <v>505</v>
      </c>
      <c r="I109" s="2342">
        <f>+IF('NO DELETE'!$AB$45=1,0.15,0.2)</f>
        <v>0.2</v>
      </c>
      <c r="J109" s="352" t="s">
        <v>182</v>
      </c>
      <c r="N109" s="411"/>
    </row>
    <row r="110" spans="1:28" ht="18.75" customHeight="1">
      <c r="B110" s="410"/>
      <c r="C110" s="410"/>
      <c r="D110" s="394"/>
      <c r="E110" s="395" t="s">
        <v>196</v>
      </c>
      <c r="I110" s="1024">
        <v>3.5</v>
      </c>
      <c r="J110" s="352" t="s">
        <v>60</v>
      </c>
      <c r="N110" s="411"/>
      <c r="R110" s="411"/>
    </row>
    <row r="111" spans="1:28" ht="20.25" customHeight="1">
      <c r="B111" s="410"/>
      <c r="C111" s="410"/>
      <c r="D111" s="394"/>
      <c r="E111" s="395" t="s">
        <v>197</v>
      </c>
      <c r="H111" s="395"/>
      <c r="I111" s="2343">
        <v>2200</v>
      </c>
      <c r="J111" s="352" t="s">
        <v>183</v>
      </c>
      <c r="N111" s="411"/>
      <c r="R111" s="411"/>
    </row>
    <row r="112" spans="1:28">
      <c r="B112" s="395" t="s">
        <v>184</v>
      </c>
      <c r="C112" s="395"/>
      <c r="F112" s="1956" t="s">
        <v>1924</v>
      </c>
      <c r="G112" s="1956"/>
      <c r="H112" s="2293">
        <f>+แหล่งวัสดุ!U61</f>
        <v>1</v>
      </c>
      <c r="K112" s="377"/>
      <c r="L112" s="377" t="s">
        <v>14</v>
      </c>
      <c r="M112" s="2312">
        <f>($H$21+$M$21)*$H$112</f>
        <v>3093.1200000000003</v>
      </c>
      <c r="N112" s="352" t="s">
        <v>9</v>
      </c>
      <c r="R112" s="411"/>
    </row>
    <row r="113" spans="1:18">
      <c r="B113" s="395" t="s">
        <v>185</v>
      </c>
      <c r="C113" s="395"/>
      <c r="K113" s="377"/>
      <c r="L113" s="377" t="s">
        <v>14</v>
      </c>
      <c r="M113" s="2344">
        <f>($I$111*$I$109*($I$110/100))/1000</f>
        <v>1.5400000000000002E-2</v>
      </c>
      <c r="N113" s="352" t="s">
        <v>178</v>
      </c>
      <c r="R113" s="411"/>
    </row>
    <row r="114" spans="1:18">
      <c r="B114" s="395" t="s">
        <v>198</v>
      </c>
      <c r="C114" s="395"/>
      <c r="K114" s="377"/>
      <c r="L114" s="377" t="s">
        <v>14</v>
      </c>
      <c r="M114" s="2312">
        <f>($I$108+($M$112*$M$113))</f>
        <v>84.244048000000021</v>
      </c>
      <c r="N114" s="352" t="s">
        <v>15</v>
      </c>
      <c r="R114" s="411"/>
    </row>
    <row r="115" spans="1:18">
      <c r="B115" s="395" t="s">
        <v>199</v>
      </c>
      <c r="C115" s="395"/>
      <c r="K115" s="377"/>
      <c r="L115" s="377" t="s">
        <v>14</v>
      </c>
      <c r="M115" s="2312" t="e">
        <f>('S2'!$BF$10/1.5/100)*(ปร.4_Roads!$E$16/ปร.4_Roads!$E$19*100)</f>
        <v>#DIV/0!</v>
      </c>
      <c r="N115" s="352" t="s">
        <v>15</v>
      </c>
      <c r="R115" s="411"/>
    </row>
    <row r="116" spans="1:18">
      <c r="A116" s="352" t="s">
        <v>200</v>
      </c>
      <c r="B116" s="395" t="s">
        <v>186</v>
      </c>
      <c r="C116" s="395"/>
      <c r="K116" s="377"/>
      <c r="L116" s="377" t="s">
        <v>14</v>
      </c>
      <c r="M116" s="412" t="e">
        <f>ROUND((M114+M115),2)</f>
        <v>#DIV/0!</v>
      </c>
      <c r="N116" s="352" t="s">
        <v>15</v>
      </c>
      <c r="R116" s="411"/>
    </row>
    <row r="117" spans="1:18" ht="18.600000000000001" customHeight="1">
      <c r="A117" s="368">
        <v>12</v>
      </c>
      <c r="B117" s="2717" t="s">
        <v>531</v>
      </c>
      <c r="C117" s="2717"/>
      <c r="D117" s="2717"/>
      <c r="E117" s="2717"/>
      <c r="F117" s="2717"/>
      <c r="G117" s="2717"/>
      <c r="N117" s="377"/>
    </row>
    <row r="118" spans="1:18" ht="18.600000000000001" customHeight="1">
      <c r="B118" s="2716" t="s">
        <v>1809</v>
      </c>
      <c r="C118" s="2716"/>
      <c r="D118" s="2716"/>
      <c r="E118" s="2716"/>
      <c r="F118" s="2716"/>
      <c r="G118" s="2716"/>
      <c r="H118" s="2716"/>
      <c r="I118" s="205"/>
      <c r="J118" s="205"/>
      <c r="K118" s="205"/>
      <c r="N118" s="377"/>
    </row>
    <row r="119" spans="1:18" ht="18.600000000000001" customHeight="1">
      <c r="B119" s="352" t="s">
        <v>201</v>
      </c>
      <c r="J119" s="205"/>
      <c r="K119" s="205"/>
      <c r="L119" s="377" t="s">
        <v>14</v>
      </c>
      <c r="M119" s="2351">
        <f>+IF(SUM(ปร.4_Roads!E24:E25,ปร.4_Roads!E31:E32)/I127&lt;=10000,10000,SUM(ปร.4_Roads!E24:E25,ปร.4_Roads!E31:E32)/I127)</f>
        <v>10000</v>
      </c>
      <c r="N119" s="395" t="s">
        <v>87</v>
      </c>
      <c r="P119" s="413"/>
    </row>
    <row r="120" spans="1:18" ht="18.600000000000001" customHeight="1">
      <c r="B120" s="352" t="s">
        <v>539</v>
      </c>
      <c r="G120" s="414">
        <v>100</v>
      </c>
      <c r="H120" s="352" t="s">
        <v>40</v>
      </c>
      <c r="J120" s="415"/>
      <c r="L120" s="377" t="s">
        <v>14</v>
      </c>
      <c r="M120" s="2312">
        <f>ROUND((IF(G120&lt;=200,VLOOKUP(G120,'S2'!B$5:'S2'!F$204,3),IF(G120&gt;200,(G120-200)*'S2'!D$205+'S2'!D$204))+80)*80/$M$119,3)</f>
        <v>3.1619999999999999</v>
      </c>
      <c r="N120" s="395" t="s">
        <v>8</v>
      </c>
    </row>
    <row r="121" spans="1:18" ht="18.600000000000001" customHeight="1">
      <c r="B121" s="352" t="s">
        <v>202</v>
      </c>
      <c r="J121" s="205"/>
      <c r="K121" s="205"/>
      <c r="L121" s="377" t="s">
        <v>14</v>
      </c>
      <c r="M121" s="2351">
        <f>250000/$M$119</f>
        <v>25</v>
      </c>
      <c r="N121" s="395" t="s">
        <v>8</v>
      </c>
    </row>
    <row r="122" spans="1:18" ht="18.600000000000001" customHeight="1">
      <c r="B122" s="352" t="str">
        <f>+VLOOKUP('NO DELETE'!AQ30,'NO DELETE'!AQ27:AR29,2)</f>
        <v xml:space="preserve"> (ยาง PARA AC) + ค่าขนส่ง) x 0.052</v>
      </c>
      <c r="I122" s="205"/>
      <c r="J122" s="205"/>
      <c r="K122" s="205"/>
      <c r="L122" s="377" t="s">
        <v>14</v>
      </c>
      <c r="M122" s="2352">
        <f>IF('NO DELETE'!AQ30=1,($H$23+$M$23)*0.052,($H$25+$M$25)*0.052)</f>
        <v>2077.3110799999999</v>
      </c>
      <c r="N122" s="395" t="s">
        <v>8</v>
      </c>
    </row>
    <row r="123" spans="1:18" ht="18.600000000000001" customHeight="1">
      <c r="B123" s="352" t="s">
        <v>204</v>
      </c>
      <c r="I123" s="205"/>
      <c r="J123" s="205"/>
      <c r="K123" s="205"/>
      <c r="L123" s="377" t="s">
        <v>14</v>
      </c>
      <c r="M123" s="2352">
        <f>($H$16+$M$16)*0.74</f>
        <v>470.54084</v>
      </c>
      <c r="N123" s="395" t="s">
        <v>8</v>
      </c>
    </row>
    <row r="124" spans="1:18" ht="18.600000000000001" customHeight="1">
      <c r="B124" s="352" t="s">
        <v>205</v>
      </c>
      <c r="I124" s="205"/>
      <c r="J124" s="205"/>
      <c r="K124" s="205"/>
      <c r="L124" s="377" t="s">
        <v>14</v>
      </c>
      <c r="M124" s="2352">
        <f>'S2'!BF21</f>
        <v>311.92</v>
      </c>
      <c r="N124" s="395" t="s">
        <v>8</v>
      </c>
    </row>
    <row r="125" spans="1:18" ht="18.600000000000001" customHeight="1">
      <c r="B125" s="352" t="s">
        <v>206</v>
      </c>
      <c r="E125" s="402"/>
      <c r="G125" s="414">
        <v>1</v>
      </c>
      <c r="H125" s="395" t="s">
        <v>40</v>
      </c>
      <c r="I125" s="395"/>
      <c r="J125" s="205"/>
      <c r="K125" s="205"/>
      <c r="L125" s="377" t="s">
        <v>14</v>
      </c>
      <c r="M125" s="2312">
        <f>IF($G$125&lt;=200,VLOOKUP($G$125,'S2'!$B$5:'S2'!$D$204,2),IF($G$125&gt;200,($G$125-200)*'S2'!$C$205+'S2'!$C$204))</f>
        <v>7.89</v>
      </c>
      <c r="N125" s="395" t="s">
        <v>8</v>
      </c>
    </row>
    <row r="126" spans="1:18" ht="18.600000000000001" customHeight="1">
      <c r="D126" s="352" t="s">
        <v>524</v>
      </c>
      <c r="E126" s="402"/>
      <c r="H126" s="205"/>
      <c r="I126" s="205"/>
      <c r="J126" s="205"/>
      <c r="K126" s="205"/>
      <c r="L126" s="377" t="s">
        <v>14</v>
      </c>
      <c r="M126" s="2312">
        <f>SUM(M120:M125)</f>
        <v>2895.8239199999998</v>
      </c>
      <c r="N126" s="395" t="s">
        <v>8</v>
      </c>
      <c r="P126" s="415"/>
    </row>
    <row r="127" spans="1:18">
      <c r="B127" s="407" t="s">
        <v>653</v>
      </c>
      <c r="G127" s="397">
        <f>+'NO DELETE'!AB13</f>
        <v>4</v>
      </c>
      <c r="H127" s="352" t="s">
        <v>207</v>
      </c>
      <c r="I127" s="416">
        <f>41.667/$G$127</f>
        <v>10.41675</v>
      </c>
      <c r="J127" s="352" t="s">
        <v>51</v>
      </c>
      <c r="L127" s="377" t="s">
        <v>14</v>
      </c>
      <c r="M127" s="412">
        <f>ROUND($M$126/$I$127,2)</f>
        <v>278</v>
      </c>
      <c r="N127" s="395" t="s">
        <v>114</v>
      </c>
    </row>
    <row r="128" spans="1:18" ht="18.600000000000001" customHeight="1">
      <c r="B128" s="407" t="s">
        <v>653</v>
      </c>
      <c r="E128" s="368"/>
      <c r="F128" s="368"/>
      <c r="G128" s="397">
        <f>+'NO DELETE'!AB14</f>
        <v>4</v>
      </c>
      <c r="H128" s="352" t="s">
        <v>207</v>
      </c>
      <c r="I128" s="416">
        <f>41.667/$G$128</f>
        <v>10.41675</v>
      </c>
      <c r="J128" s="352" t="s">
        <v>51</v>
      </c>
      <c r="L128" s="377" t="s">
        <v>14</v>
      </c>
      <c r="M128" s="412">
        <f>ROUND($M$126/$I$128,2)</f>
        <v>278</v>
      </c>
      <c r="N128" s="395" t="s">
        <v>114</v>
      </c>
    </row>
    <row r="129" spans="2:28" ht="18.600000000000001" customHeight="1">
      <c r="B129" s="2716" t="s">
        <v>1810</v>
      </c>
      <c r="C129" s="2716"/>
      <c r="D129" s="2716"/>
      <c r="E129" s="2716"/>
      <c r="F129" s="2716"/>
      <c r="G129" s="2716"/>
      <c r="H129" s="2716"/>
      <c r="I129" s="205"/>
      <c r="J129" s="205"/>
      <c r="K129" s="205"/>
      <c r="N129" s="377"/>
      <c r="P129" s="601"/>
    </row>
    <row r="130" spans="2:28" ht="18.600000000000001" customHeight="1">
      <c r="B130" s="352" t="s">
        <v>201</v>
      </c>
      <c r="J130" s="205"/>
      <c r="K130" s="205"/>
      <c r="L130" s="377" t="s">
        <v>14</v>
      </c>
      <c r="M130" s="2351">
        <f>(ปร.4_Roads!$E$24+ปร.4_Roads!$E$25+ปร.4_Roads!$E$31+ปร.4_Roads!$E$32)/'1.ต้นทุนถนน AC.'!$I$127</f>
        <v>1169.6546427628577</v>
      </c>
      <c r="N130" s="395" t="s">
        <v>87</v>
      </c>
    </row>
    <row r="131" spans="2:28" ht="18.600000000000001" customHeight="1">
      <c r="B131" s="352" t="s">
        <v>539</v>
      </c>
      <c r="F131" s="414">
        <v>100</v>
      </c>
      <c r="G131" s="352" t="s">
        <v>40</v>
      </c>
      <c r="L131" s="377" t="s">
        <v>14</v>
      </c>
      <c r="M131" s="2312">
        <f>ROUND((IF(F131&lt;=200,VLOOKUP(F131,'S2'!B$5:'S2'!F$204,3),IF(F131&gt;200,(F131-200)*'S2'!D$205+'S2'!D$204))+80)*80/$M$130,3)</f>
        <v>27.033999999999999</v>
      </c>
      <c r="N131" s="395" t="s">
        <v>8</v>
      </c>
    </row>
    <row r="132" spans="2:28" ht="18.600000000000001" customHeight="1">
      <c r="B132" s="352" t="s">
        <v>202</v>
      </c>
      <c r="J132" s="205"/>
      <c r="K132" s="205"/>
      <c r="L132" s="377" t="s">
        <v>14</v>
      </c>
      <c r="M132" s="2351">
        <f>250000/$M$130</f>
        <v>213.73830433355224</v>
      </c>
      <c r="N132" s="395" t="s">
        <v>8</v>
      </c>
    </row>
    <row r="133" spans="2:28" ht="18.600000000000001" customHeight="1">
      <c r="B133" s="352" t="s">
        <v>203</v>
      </c>
      <c r="I133" s="205"/>
      <c r="J133" s="205"/>
      <c r="K133" s="205"/>
      <c r="L133" s="377" t="s">
        <v>14</v>
      </c>
      <c r="M133" s="2352">
        <f>($H$23+$M$23)*0.052</f>
        <v>1414.4182000000001</v>
      </c>
      <c r="N133" s="395" t="s">
        <v>8</v>
      </c>
    </row>
    <row r="134" spans="2:28" ht="18.600000000000001" customHeight="1">
      <c r="B134" s="352" t="s">
        <v>204</v>
      </c>
      <c r="I134" s="205"/>
      <c r="J134" s="205"/>
      <c r="K134" s="205"/>
      <c r="L134" s="377" t="s">
        <v>14</v>
      </c>
      <c r="M134" s="2352">
        <f>($H$16+$M$16)*0.74</f>
        <v>470.54084</v>
      </c>
      <c r="N134" s="395" t="s">
        <v>8</v>
      </c>
    </row>
    <row r="135" spans="2:28" ht="18.600000000000001" customHeight="1">
      <c r="B135" s="352" t="s">
        <v>205</v>
      </c>
      <c r="I135" s="205"/>
      <c r="J135" s="205"/>
      <c r="K135" s="205"/>
      <c r="L135" s="377" t="s">
        <v>14</v>
      </c>
      <c r="M135" s="2352">
        <f>'S2'!$BF$21</f>
        <v>311.92</v>
      </c>
      <c r="N135" s="395" t="s">
        <v>8</v>
      </c>
    </row>
    <row r="136" spans="2:28" ht="18.600000000000001" customHeight="1">
      <c r="B136" s="352" t="s">
        <v>206</v>
      </c>
      <c r="E136" s="402"/>
      <c r="G136" s="377">
        <f>$G$125</f>
        <v>1</v>
      </c>
      <c r="H136" s="417" t="str">
        <f>H125</f>
        <v>กม.</v>
      </c>
      <c r="I136" s="395"/>
      <c r="J136" s="205"/>
      <c r="K136" s="205"/>
      <c r="L136" s="377" t="s">
        <v>14</v>
      </c>
      <c r="M136" s="2312">
        <f>IF($G$125&lt;=200,VLOOKUP($G$125,'S2'!$B$5:'S2'!$D$204,2),IF($G$125&gt;200,($G$125-200)*'S2'!$C$205+'S2'!$C$204))</f>
        <v>7.89</v>
      </c>
      <c r="N136" s="395" t="s">
        <v>8</v>
      </c>
    </row>
    <row r="137" spans="2:28" ht="18.600000000000001" customHeight="1">
      <c r="D137" s="352" t="s">
        <v>524</v>
      </c>
      <c r="E137" s="402"/>
      <c r="H137" s="380"/>
      <c r="I137" s="205"/>
      <c r="J137" s="205"/>
      <c r="K137" s="205"/>
      <c r="L137" s="377" t="s">
        <v>14</v>
      </c>
      <c r="M137" s="2312">
        <f>SUM(M131:M136)</f>
        <v>2445.5413443335524</v>
      </c>
      <c r="N137" s="395" t="s">
        <v>8</v>
      </c>
      <c r="P137" s="415"/>
    </row>
    <row r="138" spans="2:28">
      <c r="B138" s="407" t="s">
        <v>653</v>
      </c>
      <c r="D138" s="407"/>
      <c r="G138" s="397">
        <f>+G127</f>
        <v>4</v>
      </c>
      <c r="H138" s="418" t="str">
        <f>H127</f>
        <v xml:space="preserve"> ซม.                (</v>
      </c>
      <c r="I138" s="419">
        <f>41.667/$G$138</f>
        <v>10.41675</v>
      </c>
      <c r="J138" s="352" t="s">
        <v>51</v>
      </c>
      <c r="L138" s="377" t="s">
        <v>14</v>
      </c>
      <c r="M138" s="412">
        <f>ROUND($M$137/$I$138,2)</f>
        <v>234.77</v>
      </c>
      <c r="N138" s="395" t="s">
        <v>114</v>
      </c>
    </row>
    <row r="139" spans="2:28">
      <c r="B139" s="407" t="s">
        <v>653</v>
      </c>
      <c r="D139" s="407"/>
      <c r="G139" s="397">
        <f>+G128</f>
        <v>4</v>
      </c>
      <c r="H139" s="418" t="str">
        <f>H128</f>
        <v xml:space="preserve"> ซม.                (</v>
      </c>
      <c r="I139" s="419">
        <f>41.667/$G$139</f>
        <v>10.41675</v>
      </c>
      <c r="J139" s="352" t="s">
        <v>51</v>
      </c>
      <c r="L139" s="377"/>
      <c r="M139" s="412">
        <f>ROUND($M$137/$I$139,2)</f>
        <v>234.77</v>
      </c>
      <c r="N139" s="395" t="s">
        <v>114</v>
      </c>
      <c r="R139" s="1574"/>
      <c r="S139" s="388"/>
    </row>
    <row r="140" spans="2:28" ht="18.600000000000001" customHeight="1">
      <c r="E140" s="402"/>
      <c r="H140" s="420" t="str">
        <f>+"ราคาแอสฟัลติกความหนา "&amp;G138&amp;"  ซม.  ที่เลือก"</f>
        <v>ราคาแอสฟัลติกความหนา 4  ซม.  ที่เลือก</v>
      </c>
      <c r="L140" s="377" t="s">
        <v>14</v>
      </c>
      <c r="M140" s="421">
        <f>IF(((ปร.4_Roads!$E$24+ปร.4_Roads!$E$25+ปร.4_Roads!$E$31+ปร.4_Roads!$E$32)*$G$127*0.024)&lt;10000,$M$127,IF(((ปร.4_Roads!$E$24+ปร.4_Roads!$E$25+ปร.4_Roads!$E$31+ปร.4_Roads!$E$32)*$G$127*0.024)&gt;10000,M138))</f>
        <v>278</v>
      </c>
      <c r="N140" s="422" t="s">
        <v>114</v>
      </c>
      <c r="S140" s="416"/>
    </row>
    <row r="141" spans="2:28" ht="18.600000000000001" customHeight="1">
      <c r="E141" s="402"/>
      <c r="H141" s="420" t="str">
        <f>+"ราคาแอสฟัลติกความหนา "&amp;G139&amp;"  ซม.  ที่เลือก"</f>
        <v>ราคาแอสฟัลติกความหนา 4  ซม.  ที่เลือก</v>
      </c>
      <c r="I141" s="420"/>
      <c r="L141" s="377" t="s">
        <v>14</v>
      </c>
      <c r="M141" s="421">
        <f>IF(((ปร.4_Roads!$E$24+ปร.4_Roads!$E$25+ปร.4_Roads!$E$31+ปร.4_Roads!$E$32)*$G$128*0.024)&lt;10000,$M$128,IF(((ปร.4_Roads!$E$24+ปร.4_Roads!$E$25+ปร.4_Roads!$E$31+ปร.4_Roads!$E$32)*$G$128*0.024)&gt;10000,M139))</f>
        <v>278</v>
      </c>
      <c r="N141" s="422" t="s">
        <v>114</v>
      </c>
      <c r="S141" s="388"/>
    </row>
    <row r="142" spans="2:28" ht="16.5" customHeight="1">
      <c r="B142" s="352" t="s">
        <v>389</v>
      </c>
      <c r="L142" s="377" t="s">
        <v>14</v>
      </c>
      <c r="M142" s="381">
        <f>+IF(G127&lt;=0,0,+IF('1.ต้นทุนถนน AC.'!$G$127=5,'S2'!$BF$19,IF('1.ต้นทุนถนน AC.'!$G$127=4,'S2'!$BF$19*0.9,IF('1.ต้นทุนถนน AC.'!$G$127=3.5,'S2'!$BF$19*0.85,IF('1.ต้นทุนถนน AC.'!$G$127=3,'S2'!$BF$19*0.8)))))</f>
        <v>13.113000000000001</v>
      </c>
      <c r="N142" s="352" t="s">
        <v>15</v>
      </c>
      <c r="O142" s="353"/>
      <c r="P142" s="353"/>
      <c r="Q142" s="353"/>
      <c r="R142" s="353"/>
      <c r="S142" s="353"/>
      <c r="T142" s="353"/>
      <c r="U142" s="353"/>
      <c r="V142" s="353"/>
      <c r="W142" s="353"/>
      <c r="X142" s="353"/>
      <c r="Y142" s="353"/>
      <c r="Z142" s="353"/>
      <c r="AA142" s="353"/>
      <c r="AB142" s="353"/>
    </row>
    <row r="143" spans="2:28" ht="16.5" customHeight="1">
      <c r="C143" s="956" t="str">
        <f>+"รวมค่างานต้นทุน  งานปูลาด Asphaltic  Concrete บน Prime  Coat   ความหนา "&amp;G138&amp;" ซม. เป็นเงิน"</f>
        <v>รวมค่างานต้นทุน  งานปูลาด Asphaltic  Concrete บน Prime  Coat   ความหนา 4 ซม. เป็นเงิน</v>
      </c>
      <c r="L143" s="377" t="s">
        <v>14</v>
      </c>
      <c r="M143" s="400">
        <f>ROUND((M140+$M$142),2)</f>
        <v>291.11</v>
      </c>
      <c r="N143" s="352" t="s">
        <v>15</v>
      </c>
      <c r="O143" s="353"/>
      <c r="P143" s="353"/>
      <c r="Q143" s="353"/>
      <c r="R143" s="353"/>
      <c r="S143" s="353"/>
      <c r="T143" s="353"/>
      <c r="U143" s="353"/>
      <c r="V143" s="353"/>
      <c r="W143" s="353"/>
      <c r="X143" s="353"/>
      <c r="Y143" s="353"/>
      <c r="Z143" s="353"/>
      <c r="AA143" s="353"/>
      <c r="AB143" s="353"/>
    </row>
    <row r="144" spans="2:28" ht="16.5" customHeight="1">
      <c r="C144" s="956" t="str">
        <f>+"รวมค่างานต้นทุน  งานปูลาด Asphaltic  Concrete บน Prime  Coat   ความหนา "&amp;G139&amp;" ซม. เป็นเงิน"</f>
        <v>รวมค่างานต้นทุน  งานปูลาด Asphaltic  Concrete บน Prime  Coat   ความหนา 4 ซม. เป็นเงิน</v>
      </c>
      <c r="L144" s="377" t="s">
        <v>14</v>
      </c>
      <c r="M144" s="400">
        <f>ROUND(SUM(M141:$M$142),2)</f>
        <v>291.11</v>
      </c>
      <c r="N144" s="352" t="s">
        <v>15</v>
      </c>
      <c r="O144" s="353"/>
      <c r="P144" s="353"/>
      <c r="Q144" s="353"/>
      <c r="R144" s="353"/>
      <c r="S144" s="353"/>
      <c r="T144" s="353"/>
      <c r="U144" s="353"/>
      <c r="V144" s="353"/>
      <c r="W144" s="353"/>
      <c r="X144" s="353"/>
      <c r="Y144" s="353"/>
      <c r="Z144" s="353"/>
      <c r="AA144" s="353"/>
      <c r="AB144" s="353"/>
    </row>
    <row r="145" spans="1:28" ht="16.5" customHeight="1">
      <c r="B145" s="352" t="s">
        <v>390</v>
      </c>
      <c r="L145" s="377" t="s">
        <v>14</v>
      </c>
      <c r="M145" s="381">
        <f>+IF(G127&lt;=0,0,+IF('1.ต้นทุนถนน AC.'!$G$127=5,'S2'!$BF$20,IF('1.ต้นทุนถนน AC.'!$G$127=4,'S2'!$BF$20*0.9,IF('1.ต้นทุนถนน AC.'!$G$127=3.5,'S2'!$BF$20*0.85,IF('1.ต้นทุนถนน AC.'!$G$127=3,'S2'!$BF$20*0.8)))))</f>
        <v>10.385999999999999</v>
      </c>
      <c r="N145" s="352" t="s">
        <v>15</v>
      </c>
      <c r="O145" s="353"/>
      <c r="P145" s="353"/>
      <c r="Q145" s="353"/>
      <c r="R145" s="353"/>
      <c r="S145" s="353"/>
      <c r="T145" s="353"/>
      <c r="U145" s="353"/>
      <c r="V145" s="353"/>
      <c r="W145" s="353"/>
      <c r="X145" s="353"/>
      <c r="Y145" s="353"/>
      <c r="Z145" s="353"/>
      <c r="AA145" s="353"/>
      <c r="AB145" s="353"/>
    </row>
    <row r="146" spans="1:28" ht="16.5" customHeight="1">
      <c r="C146" s="956" t="str">
        <f>+"รวมค่างานต้นทุน  งานปูลาด Asphaltic  Concrete บน Tack  Coat   ความหนา "&amp;G138&amp;" ซม. เป็นเงิน"</f>
        <v>รวมค่างานต้นทุน  งานปูลาด Asphaltic  Concrete บน Tack  Coat   ความหนา 4 ซม. เป็นเงิน</v>
      </c>
      <c r="L146" s="377" t="s">
        <v>14</v>
      </c>
      <c r="M146" s="423">
        <f>+ROUND(M140+$M$145,2)</f>
        <v>288.39</v>
      </c>
      <c r="N146" s="352" t="s">
        <v>15</v>
      </c>
      <c r="O146" s="353"/>
      <c r="P146" s="353"/>
      <c r="Q146" s="353"/>
      <c r="R146" s="353"/>
      <c r="S146" s="353"/>
      <c r="T146" s="353"/>
      <c r="U146" s="353"/>
      <c r="V146" s="353"/>
      <c r="W146" s="353"/>
      <c r="X146" s="353"/>
      <c r="Y146" s="353"/>
      <c r="Z146" s="353"/>
      <c r="AA146" s="353"/>
      <c r="AB146" s="353"/>
    </row>
    <row r="147" spans="1:28" ht="16.5" customHeight="1">
      <c r="C147" s="956" t="str">
        <f>+"รวมค่างานต้นทุน  งานปูลาด Asphaltic  Concrete บน Tack  Coat   ความหนา "&amp;G139&amp;" ซม. เป็นเงิน"</f>
        <v>รวมค่างานต้นทุน  งานปูลาด Asphaltic  Concrete บน Tack  Coat   ความหนา 4 ซม. เป็นเงิน</v>
      </c>
      <c r="L147" s="377" t="s">
        <v>14</v>
      </c>
      <c r="M147" s="423">
        <f>+ROUND(M141+$M$145,2)</f>
        <v>288.39</v>
      </c>
      <c r="N147" s="352" t="s">
        <v>15</v>
      </c>
      <c r="O147" s="353"/>
      <c r="P147" s="353"/>
      <c r="Q147" s="353"/>
      <c r="R147" s="353"/>
      <c r="S147" s="353"/>
      <c r="T147" s="353"/>
      <c r="U147" s="353"/>
      <c r="V147" s="353"/>
      <c r="W147" s="353"/>
      <c r="X147" s="353"/>
      <c r="Y147" s="353"/>
      <c r="Z147" s="353"/>
      <c r="AA147" s="353"/>
      <c r="AB147" s="353"/>
    </row>
    <row r="148" spans="1:28">
      <c r="A148" s="205"/>
      <c r="B148" s="424" t="s">
        <v>17</v>
      </c>
      <c r="C148" s="424"/>
      <c r="D148" s="205"/>
      <c r="E148" s="205"/>
      <c r="F148" s="205"/>
      <c r="G148" s="205"/>
      <c r="H148" s="205"/>
      <c r="I148" s="205"/>
      <c r="L148" s="377"/>
      <c r="M148" s="375"/>
      <c r="S148" s="411"/>
    </row>
    <row r="149" spans="1:28">
      <c r="A149" s="205"/>
      <c r="B149" s="205" t="s">
        <v>52</v>
      </c>
      <c r="C149" s="205"/>
      <c r="D149" s="205"/>
      <c r="E149" s="205"/>
      <c r="F149" s="205"/>
      <c r="G149" s="205"/>
      <c r="H149" s="205"/>
      <c r="I149" s="205"/>
      <c r="L149" s="377"/>
      <c r="M149" s="425"/>
      <c r="S149" s="411"/>
    </row>
    <row r="150" spans="1:28">
      <c r="A150" s="205"/>
      <c r="B150" s="205" t="s">
        <v>53</v>
      </c>
      <c r="C150" s="205"/>
      <c r="D150" s="205"/>
      <c r="E150" s="205"/>
      <c r="F150" s="205"/>
      <c r="G150" s="205"/>
      <c r="H150" s="205"/>
      <c r="I150" s="205"/>
      <c r="L150" s="377"/>
      <c r="M150" s="401"/>
      <c r="S150" s="411"/>
    </row>
    <row r="151" spans="1:28">
      <c r="A151" s="205"/>
      <c r="B151" s="424" t="s">
        <v>19</v>
      </c>
      <c r="C151" s="424"/>
      <c r="D151" s="205"/>
      <c r="E151" s="205"/>
      <c r="F151" s="205"/>
      <c r="G151" s="205"/>
      <c r="H151" s="205"/>
      <c r="I151" s="205"/>
      <c r="L151" s="377"/>
      <c r="S151" s="411"/>
    </row>
    <row r="152" spans="1:28" ht="21.75">
      <c r="A152" s="205"/>
      <c r="B152" s="205" t="s">
        <v>359</v>
      </c>
      <c r="C152" s="205"/>
      <c r="D152" s="205"/>
      <c r="E152" s="205"/>
      <c r="F152" s="205"/>
      <c r="G152" s="426">
        <f>แหล่งวัสดุ!C7</f>
        <v>23.5</v>
      </c>
      <c r="H152" s="205" t="s">
        <v>20</v>
      </c>
      <c r="I152" s="205"/>
      <c r="S152" s="411"/>
    </row>
    <row r="153" spans="1:28" ht="21.75">
      <c r="A153" s="205"/>
      <c r="B153" s="205" t="s">
        <v>360</v>
      </c>
      <c r="C153" s="205"/>
      <c r="D153" s="205"/>
      <c r="E153" s="205"/>
      <c r="F153" s="427" t="str">
        <f>IF(แหล่งวัสดุ!H4=1,"ฝนตกชุก 1","ฝนตกชุก 2")</f>
        <v>ฝนตกชุก 1</v>
      </c>
      <c r="G153" s="205"/>
      <c r="H153" s="205"/>
      <c r="I153" s="205"/>
      <c r="S153" s="411"/>
    </row>
    <row r="154" spans="1:28">
      <c r="A154" s="205"/>
      <c r="B154" s="205"/>
      <c r="C154" s="205"/>
      <c r="D154" s="205"/>
      <c r="E154" s="205"/>
      <c r="F154" s="205"/>
      <c r="G154" s="428"/>
      <c r="H154" s="205"/>
      <c r="I154" s="205"/>
      <c r="S154" s="411"/>
    </row>
    <row r="155" spans="1:28">
      <c r="A155" s="205"/>
      <c r="B155" s="205"/>
      <c r="C155" s="205"/>
      <c r="D155" s="205"/>
      <c r="E155" s="205"/>
      <c r="F155" s="205"/>
      <c r="G155" s="205"/>
      <c r="H155" s="205"/>
      <c r="I155" s="205"/>
      <c r="S155" s="411"/>
    </row>
    <row r="156" spans="1:28">
      <c r="A156" s="205"/>
      <c r="B156" s="205"/>
      <c r="C156" s="205"/>
      <c r="D156" s="205"/>
      <c r="E156" s="205"/>
      <c r="F156" s="205"/>
      <c r="G156" s="205"/>
      <c r="H156" s="205"/>
      <c r="I156" s="205"/>
      <c r="S156" s="411"/>
    </row>
    <row r="157" spans="1:28">
      <c r="A157" s="205"/>
      <c r="B157" s="205"/>
      <c r="C157" s="205"/>
      <c r="D157" s="205"/>
      <c r="E157" s="205"/>
      <c r="F157" s="205"/>
      <c r="G157" s="205"/>
      <c r="H157" s="205"/>
      <c r="I157" s="205"/>
      <c r="S157" s="411"/>
    </row>
    <row r="158" spans="1:28">
      <c r="A158" s="205"/>
      <c r="B158" s="205"/>
      <c r="C158" s="205"/>
      <c r="D158" s="205"/>
      <c r="E158" s="205"/>
      <c r="F158" s="205"/>
      <c r="G158" s="205"/>
      <c r="H158" s="205"/>
      <c r="I158" s="205"/>
      <c r="S158" s="411"/>
    </row>
    <row r="159" spans="1:28">
      <c r="A159" s="205"/>
      <c r="B159" s="205"/>
      <c r="C159" s="205"/>
      <c r="D159" s="205"/>
      <c r="E159" s="205"/>
      <c r="F159" s="205"/>
      <c r="G159" s="205"/>
      <c r="H159" s="205"/>
      <c r="I159" s="205"/>
      <c r="S159" s="411"/>
    </row>
    <row r="160" spans="1:28">
      <c r="A160" s="205"/>
      <c r="B160" s="205"/>
      <c r="C160" s="205"/>
      <c r="D160" s="205"/>
      <c r="E160" s="205"/>
      <c r="F160" s="205"/>
      <c r="G160" s="205"/>
      <c r="H160" s="205"/>
      <c r="I160" s="205"/>
      <c r="S160" s="411"/>
    </row>
    <row r="161" spans="1:19">
      <c r="A161" s="205"/>
      <c r="B161" s="205"/>
      <c r="C161" s="205"/>
      <c r="D161" s="205"/>
      <c r="E161" s="205"/>
      <c r="F161" s="205"/>
      <c r="G161" s="205"/>
      <c r="H161" s="205"/>
      <c r="I161" s="205"/>
      <c r="S161" s="411"/>
    </row>
    <row r="162" spans="1:19">
      <c r="A162" s="205"/>
      <c r="B162" s="205"/>
      <c r="C162" s="205"/>
      <c r="D162" s="205"/>
      <c r="E162" s="205"/>
      <c r="F162" s="205"/>
      <c r="G162" s="205"/>
      <c r="H162" s="205"/>
      <c r="I162" s="205"/>
      <c r="S162" s="411"/>
    </row>
    <row r="163" spans="1:19">
      <c r="A163" s="205"/>
      <c r="B163" s="205"/>
      <c r="C163" s="205"/>
      <c r="D163" s="205"/>
      <c r="E163" s="205"/>
      <c r="F163" s="205"/>
      <c r="G163" s="205"/>
      <c r="H163" s="205"/>
      <c r="I163" s="205"/>
      <c r="S163" s="411"/>
    </row>
    <row r="164" spans="1:19">
      <c r="A164" s="205"/>
      <c r="B164" s="205"/>
      <c r="C164" s="205"/>
      <c r="D164" s="205"/>
      <c r="E164" s="205"/>
      <c r="F164" s="205"/>
      <c r="G164" s="205"/>
      <c r="H164" s="205"/>
      <c r="I164" s="205"/>
      <c r="S164" s="411"/>
    </row>
    <row r="165" spans="1:19">
      <c r="A165" s="205"/>
      <c r="B165" s="205"/>
      <c r="C165" s="205"/>
      <c r="D165" s="205"/>
      <c r="E165" s="205"/>
      <c r="F165" s="205"/>
      <c r="G165" s="205"/>
      <c r="H165" s="205"/>
      <c r="I165" s="205"/>
      <c r="S165" s="411"/>
    </row>
    <row r="166" spans="1:19">
      <c r="A166" s="205"/>
      <c r="B166" s="205"/>
      <c r="C166" s="205"/>
      <c r="D166" s="205"/>
      <c r="E166" s="205"/>
      <c r="F166" s="205"/>
      <c r="G166" s="205"/>
      <c r="H166" s="205"/>
      <c r="I166" s="205"/>
      <c r="S166" s="411"/>
    </row>
    <row r="167" spans="1:19">
      <c r="A167" s="205"/>
      <c r="B167" s="205"/>
      <c r="C167" s="205"/>
      <c r="D167" s="205"/>
      <c r="E167" s="205"/>
      <c r="F167" s="205"/>
      <c r="G167" s="205"/>
      <c r="H167" s="205"/>
      <c r="I167" s="205"/>
      <c r="S167" s="411"/>
    </row>
    <row r="168" spans="1:19">
      <c r="A168" s="205"/>
      <c r="B168" s="205"/>
      <c r="C168" s="205"/>
      <c r="D168" s="205"/>
      <c r="E168" s="205"/>
      <c r="F168" s="205"/>
      <c r="G168" s="205"/>
      <c r="H168" s="205"/>
      <c r="I168" s="205"/>
      <c r="S168" s="411"/>
    </row>
    <row r="169" spans="1:19">
      <c r="A169" s="205"/>
      <c r="B169" s="205"/>
      <c r="C169" s="205"/>
      <c r="D169" s="205"/>
      <c r="E169" s="205"/>
      <c r="F169" s="205"/>
      <c r="G169" s="205"/>
      <c r="H169" s="205"/>
      <c r="I169" s="205"/>
      <c r="S169" s="411"/>
    </row>
    <row r="170" spans="1:19">
      <c r="A170" s="205"/>
      <c r="B170" s="205"/>
      <c r="C170" s="205"/>
      <c r="D170" s="205"/>
      <c r="E170" s="205"/>
      <c r="F170" s="205"/>
      <c r="G170" s="205"/>
      <c r="H170" s="205"/>
      <c r="I170" s="205"/>
      <c r="S170" s="411"/>
    </row>
    <row r="171" spans="1:19">
      <c r="A171" s="205"/>
      <c r="B171" s="205"/>
      <c r="C171" s="205"/>
      <c r="D171" s="205"/>
      <c r="E171" s="205"/>
      <c r="F171" s="205"/>
      <c r="G171" s="205"/>
      <c r="H171" s="205"/>
      <c r="I171" s="205"/>
    </row>
    <row r="172" spans="1:19">
      <c r="A172" s="205"/>
      <c r="B172" s="205"/>
      <c r="C172" s="205"/>
      <c r="D172" s="205"/>
      <c r="E172" s="205"/>
      <c r="F172" s="205"/>
      <c r="G172" s="205"/>
      <c r="H172" s="205"/>
      <c r="I172" s="205"/>
    </row>
    <row r="173" spans="1:19">
      <c r="A173" s="205"/>
      <c r="B173" s="205"/>
      <c r="C173" s="205"/>
      <c r="D173" s="205"/>
      <c r="E173" s="205"/>
      <c r="F173" s="205"/>
      <c r="G173" s="205"/>
      <c r="H173" s="205"/>
      <c r="I173" s="205"/>
    </row>
    <row r="174" spans="1:19">
      <c r="A174" s="205"/>
      <c r="B174" s="205"/>
      <c r="C174" s="205"/>
      <c r="D174" s="205"/>
      <c r="E174" s="205"/>
      <c r="F174" s="205"/>
      <c r="G174" s="205"/>
      <c r="H174" s="205"/>
      <c r="I174" s="205"/>
    </row>
    <row r="175" spans="1:19">
      <c r="A175" s="205"/>
      <c r="B175" s="205"/>
      <c r="C175" s="205"/>
      <c r="D175" s="205"/>
      <c r="E175" s="205"/>
      <c r="F175" s="205"/>
      <c r="G175" s="205"/>
      <c r="H175" s="205"/>
      <c r="I175" s="205"/>
    </row>
    <row r="176" spans="1:19">
      <c r="A176" s="205"/>
      <c r="B176" s="205"/>
      <c r="C176" s="205"/>
      <c r="D176" s="205"/>
      <c r="E176" s="205"/>
      <c r="F176" s="205"/>
      <c r="G176" s="205"/>
      <c r="H176" s="205"/>
      <c r="I176" s="205"/>
    </row>
    <row r="177" spans="1:9">
      <c r="A177" s="205"/>
      <c r="B177" s="205"/>
      <c r="C177" s="205"/>
      <c r="D177" s="205"/>
      <c r="E177" s="205"/>
      <c r="F177" s="205"/>
      <c r="G177" s="205"/>
      <c r="H177" s="205"/>
      <c r="I177" s="205"/>
    </row>
    <row r="178" spans="1:9">
      <c r="A178" s="205"/>
      <c r="B178" s="205"/>
      <c r="C178" s="205"/>
      <c r="D178" s="205"/>
      <c r="E178" s="205"/>
      <c r="F178" s="205"/>
      <c r="G178" s="205"/>
      <c r="H178" s="205"/>
      <c r="I178" s="205"/>
    </row>
    <row r="179" spans="1:9">
      <c r="A179" s="205"/>
      <c r="B179" s="205"/>
      <c r="C179" s="205"/>
      <c r="D179" s="205"/>
      <c r="E179" s="205"/>
      <c r="F179" s="205"/>
      <c r="G179" s="205"/>
      <c r="H179" s="205"/>
      <c r="I179" s="205"/>
    </row>
    <row r="180" spans="1:9">
      <c r="A180" s="205"/>
      <c r="B180" s="205"/>
      <c r="C180" s="205"/>
      <c r="D180" s="205"/>
      <c r="E180" s="205"/>
      <c r="F180" s="205"/>
      <c r="G180" s="205"/>
      <c r="H180" s="205"/>
      <c r="I180" s="205"/>
    </row>
    <row r="181" spans="1:9">
      <c r="A181" s="205"/>
      <c r="B181" s="205"/>
      <c r="C181" s="205"/>
      <c r="D181" s="205"/>
      <c r="E181" s="205"/>
      <c r="F181" s="205"/>
      <c r="G181" s="205"/>
      <c r="H181" s="205"/>
      <c r="I181" s="205"/>
    </row>
    <row r="182" spans="1:9">
      <c r="A182" s="205"/>
      <c r="B182" s="205"/>
      <c r="C182" s="205"/>
      <c r="D182" s="205"/>
      <c r="E182" s="205"/>
      <c r="F182" s="205"/>
      <c r="G182" s="205"/>
      <c r="H182" s="205"/>
      <c r="I182" s="205"/>
    </row>
    <row r="183" spans="1:9">
      <c r="A183" s="205"/>
      <c r="B183" s="205"/>
      <c r="C183" s="205"/>
      <c r="D183" s="205"/>
      <c r="E183" s="205"/>
      <c r="F183" s="205"/>
      <c r="G183" s="205"/>
      <c r="H183" s="205"/>
      <c r="I183" s="205"/>
    </row>
    <row r="184" spans="1:9">
      <c r="A184" s="205"/>
      <c r="B184" s="205"/>
      <c r="C184" s="205"/>
      <c r="D184" s="205"/>
      <c r="E184" s="205"/>
      <c r="F184" s="205"/>
      <c r="G184" s="205"/>
      <c r="H184" s="205"/>
      <c r="I184" s="205"/>
    </row>
    <row r="185" spans="1:9">
      <c r="A185" s="205"/>
      <c r="B185" s="205"/>
      <c r="C185" s="205"/>
      <c r="D185" s="205"/>
      <c r="E185" s="205"/>
      <c r="F185" s="205"/>
      <c r="G185" s="205"/>
      <c r="H185" s="205"/>
      <c r="I185" s="205"/>
    </row>
    <row r="186" spans="1:9">
      <c r="A186" s="205"/>
      <c r="B186" s="205"/>
      <c r="C186" s="205"/>
      <c r="D186" s="205"/>
      <c r="E186" s="205"/>
      <c r="F186" s="205"/>
      <c r="G186" s="205"/>
      <c r="H186" s="205"/>
      <c r="I186" s="205"/>
    </row>
    <row r="187" spans="1:9">
      <c r="A187" s="205"/>
      <c r="B187" s="205"/>
      <c r="C187" s="205"/>
      <c r="D187" s="205"/>
      <c r="E187" s="205"/>
      <c r="F187" s="205"/>
      <c r="G187" s="205"/>
      <c r="H187" s="205"/>
      <c r="I187" s="205"/>
    </row>
    <row r="188" spans="1:9">
      <c r="A188" s="205"/>
      <c r="B188" s="205"/>
      <c r="C188" s="205"/>
      <c r="D188" s="205"/>
      <c r="E188" s="205"/>
      <c r="F188" s="205"/>
      <c r="G188" s="205"/>
      <c r="H188" s="205"/>
      <c r="I188" s="205"/>
    </row>
    <row r="189" spans="1:9">
      <c r="A189" s="205"/>
      <c r="B189" s="205"/>
      <c r="C189" s="205"/>
      <c r="D189" s="205"/>
      <c r="E189" s="205"/>
      <c r="F189" s="205"/>
      <c r="G189" s="205"/>
      <c r="H189" s="205"/>
      <c r="I189" s="205"/>
    </row>
    <row r="190" spans="1:9">
      <c r="A190" s="205"/>
      <c r="B190" s="205"/>
      <c r="C190" s="205"/>
      <c r="D190" s="205"/>
      <c r="E190" s="205"/>
      <c r="F190" s="205"/>
      <c r="G190" s="205"/>
      <c r="H190" s="205"/>
      <c r="I190" s="205"/>
    </row>
    <row r="191" spans="1:9">
      <c r="A191" s="205"/>
      <c r="B191" s="205"/>
      <c r="C191" s="205"/>
      <c r="D191" s="205"/>
      <c r="E191" s="205"/>
      <c r="F191" s="205"/>
      <c r="G191" s="205"/>
      <c r="H191" s="205"/>
      <c r="I191" s="205"/>
    </row>
    <row r="192" spans="1:9">
      <c r="A192" s="205"/>
      <c r="B192" s="205"/>
      <c r="C192" s="205"/>
      <c r="D192" s="205"/>
      <c r="E192" s="205"/>
      <c r="F192" s="205"/>
      <c r="G192" s="205"/>
      <c r="H192" s="205"/>
      <c r="I192" s="205"/>
    </row>
    <row r="193" spans="1:9">
      <c r="A193" s="205"/>
      <c r="B193" s="205"/>
      <c r="C193" s="205"/>
      <c r="D193" s="205"/>
      <c r="E193" s="205"/>
      <c r="F193" s="205"/>
      <c r="G193" s="205"/>
      <c r="H193" s="205"/>
      <c r="I193" s="205"/>
    </row>
    <row r="194" spans="1:9">
      <c r="A194" s="205"/>
      <c r="B194" s="205"/>
      <c r="C194" s="205"/>
      <c r="D194" s="205"/>
      <c r="E194" s="205"/>
      <c r="F194" s="205"/>
      <c r="G194" s="205"/>
      <c r="H194" s="205"/>
      <c r="I194" s="205"/>
    </row>
    <row r="195" spans="1:9">
      <c r="A195" s="205"/>
      <c r="B195" s="205"/>
      <c r="C195" s="205"/>
      <c r="D195" s="205"/>
      <c r="E195" s="205"/>
      <c r="F195" s="205"/>
      <c r="G195" s="205"/>
      <c r="H195" s="205"/>
      <c r="I195" s="205"/>
    </row>
    <row r="196" spans="1:9">
      <c r="A196" s="205"/>
      <c r="B196" s="205"/>
      <c r="C196" s="205"/>
      <c r="D196" s="205"/>
      <c r="E196" s="205"/>
      <c r="F196" s="205"/>
      <c r="G196" s="205"/>
      <c r="H196" s="205"/>
      <c r="I196" s="205"/>
    </row>
    <row r="197" spans="1:9">
      <c r="A197" s="205"/>
      <c r="B197" s="205"/>
      <c r="C197" s="205"/>
      <c r="D197" s="205"/>
      <c r="E197" s="205"/>
      <c r="F197" s="205"/>
      <c r="G197" s="205"/>
      <c r="H197" s="205"/>
      <c r="I197" s="205"/>
    </row>
    <row r="198" spans="1:9">
      <c r="A198" s="205"/>
      <c r="B198" s="205"/>
      <c r="C198" s="205"/>
      <c r="D198" s="205"/>
      <c r="E198" s="205"/>
      <c r="F198" s="205"/>
      <c r="G198" s="205"/>
      <c r="H198" s="205"/>
      <c r="I198" s="205"/>
    </row>
    <row r="199" spans="1:9">
      <c r="A199" s="205"/>
      <c r="B199" s="205"/>
      <c r="C199" s="205"/>
      <c r="D199" s="205"/>
      <c r="E199" s="205"/>
      <c r="F199" s="205"/>
      <c r="G199" s="205"/>
      <c r="H199" s="205"/>
      <c r="I199" s="205"/>
    </row>
    <row r="200" spans="1:9">
      <c r="A200" s="205"/>
      <c r="B200" s="205"/>
      <c r="C200" s="205"/>
      <c r="D200" s="205"/>
      <c r="E200" s="205"/>
      <c r="F200" s="205"/>
      <c r="G200" s="205"/>
      <c r="H200" s="205"/>
      <c r="I200" s="205"/>
    </row>
    <row r="201" spans="1:9">
      <c r="A201" s="205"/>
      <c r="B201" s="205"/>
      <c r="C201" s="205"/>
      <c r="D201" s="205"/>
      <c r="E201" s="205"/>
      <c r="F201" s="205"/>
      <c r="G201" s="205"/>
      <c r="H201" s="205"/>
      <c r="I201" s="205"/>
    </row>
    <row r="202" spans="1:9">
      <c r="A202" s="205"/>
      <c r="B202" s="205"/>
      <c r="C202" s="205"/>
      <c r="D202" s="205"/>
      <c r="E202" s="205"/>
      <c r="F202" s="205"/>
      <c r="G202" s="205"/>
      <c r="H202" s="205"/>
      <c r="I202" s="205"/>
    </row>
    <row r="203" spans="1:9">
      <c r="A203" s="205"/>
      <c r="B203" s="205"/>
      <c r="C203" s="205"/>
      <c r="D203" s="205"/>
      <c r="E203" s="205"/>
      <c r="F203" s="205"/>
      <c r="G203" s="205"/>
      <c r="H203" s="205"/>
      <c r="I203" s="205"/>
    </row>
    <row r="204" spans="1:9">
      <c r="A204" s="205"/>
      <c r="B204" s="205"/>
      <c r="C204" s="205"/>
      <c r="D204" s="205"/>
      <c r="E204" s="205"/>
      <c r="F204" s="205"/>
      <c r="G204" s="205"/>
      <c r="H204" s="205"/>
      <c r="I204" s="205"/>
    </row>
    <row r="205" spans="1:9">
      <c r="A205" s="205"/>
      <c r="B205" s="205"/>
      <c r="C205" s="205"/>
      <c r="D205" s="205"/>
      <c r="E205" s="205"/>
      <c r="F205" s="205"/>
      <c r="G205" s="205"/>
      <c r="H205" s="205"/>
      <c r="I205" s="205"/>
    </row>
    <row r="206" spans="1:9">
      <c r="A206" s="205"/>
      <c r="B206" s="205"/>
      <c r="C206" s="205"/>
      <c r="D206" s="205"/>
      <c r="E206" s="205"/>
      <c r="F206" s="205"/>
      <c r="G206" s="205"/>
      <c r="H206" s="205"/>
      <c r="I206" s="205"/>
    </row>
    <row r="207" spans="1:9">
      <c r="A207" s="205"/>
      <c r="B207" s="205"/>
      <c r="C207" s="205"/>
      <c r="D207" s="205"/>
      <c r="E207" s="205"/>
      <c r="F207" s="205"/>
      <c r="G207" s="205"/>
      <c r="H207" s="205"/>
      <c r="I207" s="205"/>
    </row>
    <row r="208" spans="1:9">
      <c r="A208" s="205"/>
      <c r="B208" s="205"/>
      <c r="C208" s="205"/>
      <c r="D208" s="205"/>
      <c r="E208" s="205"/>
      <c r="F208" s="205"/>
      <c r="G208" s="205"/>
      <c r="H208" s="205"/>
      <c r="I208" s="205"/>
    </row>
    <row r="209" spans="1:9">
      <c r="A209" s="205"/>
      <c r="B209" s="205"/>
      <c r="C209" s="205"/>
      <c r="D209" s="205"/>
      <c r="E209" s="205"/>
      <c r="F209" s="205"/>
      <c r="G209" s="205"/>
      <c r="H209" s="205"/>
      <c r="I209" s="205"/>
    </row>
    <row r="210" spans="1:9">
      <c r="A210" s="205"/>
      <c r="B210" s="205"/>
      <c r="C210" s="205"/>
      <c r="D210" s="205"/>
      <c r="E210" s="205"/>
      <c r="F210" s="205"/>
      <c r="G210" s="205"/>
      <c r="H210" s="205"/>
      <c r="I210" s="205"/>
    </row>
    <row r="211" spans="1:9">
      <c r="A211" s="205"/>
      <c r="B211" s="205"/>
      <c r="C211" s="205"/>
      <c r="D211" s="205"/>
      <c r="E211" s="205"/>
      <c r="F211" s="205"/>
      <c r="G211" s="205"/>
      <c r="H211" s="205"/>
      <c r="I211" s="205"/>
    </row>
    <row r="212" spans="1:9">
      <c r="A212" s="205"/>
      <c r="B212" s="205"/>
      <c r="C212" s="205"/>
      <c r="D212" s="205"/>
      <c r="E212" s="205"/>
      <c r="F212" s="205"/>
      <c r="G212" s="205"/>
      <c r="H212" s="205"/>
      <c r="I212" s="205"/>
    </row>
    <row r="213" spans="1:9">
      <c r="A213" s="205"/>
      <c r="B213" s="205"/>
      <c r="C213" s="205"/>
      <c r="D213" s="205"/>
      <c r="E213" s="205"/>
      <c r="F213" s="205"/>
      <c r="G213" s="205"/>
      <c r="H213" s="205"/>
      <c r="I213" s="205"/>
    </row>
    <row r="214" spans="1:9">
      <c r="A214" s="205"/>
      <c r="B214" s="205"/>
      <c r="C214" s="205"/>
      <c r="D214" s="205"/>
      <c r="E214" s="205"/>
      <c r="F214" s="205"/>
      <c r="G214" s="205"/>
      <c r="H214" s="205"/>
      <c r="I214" s="205"/>
    </row>
    <row r="215" spans="1:9">
      <c r="A215" s="205"/>
      <c r="B215" s="205"/>
      <c r="C215" s="205"/>
      <c r="D215" s="205"/>
      <c r="E215" s="205"/>
      <c r="F215" s="205"/>
      <c r="G215" s="205"/>
      <c r="H215" s="205"/>
      <c r="I215" s="205"/>
    </row>
    <row r="216" spans="1:9">
      <c r="A216" s="205"/>
      <c r="B216" s="205"/>
      <c r="C216" s="205"/>
      <c r="D216" s="205"/>
      <c r="E216" s="205"/>
      <c r="F216" s="205"/>
      <c r="G216" s="205"/>
      <c r="H216" s="205"/>
      <c r="I216" s="205"/>
    </row>
    <row r="217" spans="1:9">
      <c r="A217" s="205"/>
      <c r="B217" s="205"/>
      <c r="C217" s="205"/>
      <c r="D217" s="205"/>
      <c r="E217" s="205"/>
      <c r="F217" s="205"/>
      <c r="G217" s="205"/>
      <c r="H217" s="205"/>
      <c r="I217" s="205"/>
    </row>
    <row r="218" spans="1:9">
      <c r="A218" s="205"/>
      <c r="B218" s="205"/>
      <c r="C218" s="205"/>
      <c r="D218" s="205"/>
      <c r="E218" s="205"/>
      <c r="F218" s="205"/>
      <c r="G218" s="205"/>
      <c r="H218" s="205"/>
      <c r="I218" s="205"/>
    </row>
    <row r="219" spans="1:9">
      <c r="A219" s="205"/>
      <c r="B219" s="205"/>
      <c r="C219" s="205"/>
      <c r="D219" s="205"/>
      <c r="E219" s="205"/>
      <c r="F219" s="205"/>
      <c r="G219" s="205"/>
      <c r="H219" s="205"/>
      <c r="I219" s="205"/>
    </row>
    <row r="220" spans="1:9">
      <c r="A220" s="205"/>
      <c r="B220" s="205"/>
      <c r="C220" s="205"/>
      <c r="D220" s="205"/>
      <c r="E220" s="205"/>
      <c r="F220" s="205"/>
      <c r="G220" s="205"/>
      <c r="H220" s="205"/>
      <c r="I220" s="205"/>
    </row>
    <row r="221" spans="1:9">
      <c r="A221" s="205"/>
      <c r="B221" s="205"/>
      <c r="C221" s="205"/>
      <c r="D221" s="205"/>
      <c r="E221" s="205"/>
      <c r="F221" s="205"/>
      <c r="G221" s="205"/>
      <c r="H221" s="205"/>
      <c r="I221" s="205"/>
    </row>
    <row r="222" spans="1:9">
      <c r="A222" s="205"/>
      <c r="B222" s="205"/>
      <c r="C222" s="205"/>
      <c r="D222" s="205"/>
      <c r="E222" s="205"/>
      <c r="F222" s="205"/>
      <c r="G222" s="205"/>
      <c r="H222" s="205"/>
      <c r="I222" s="205"/>
    </row>
    <row r="223" spans="1:9">
      <c r="A223" s="205"/>
      <c r="B223" s="205"/>
      <c r="C223" s="205"/>
      <c r="D223" s="205"/>
      <c r="E223" s="205"/>
      <c r="F223" s="205"/>
      <c r="G223" s="205"/>
      <c r="H223" s="205"/>
      <c r="I223" s="205"/>
    </row>
    <row r="224" spans="1:9">
      <c r="A224" s="205"/>
      <c r="B224" s="205"/>
      <c r="C224" s="205"/>
      <c r="D224" s="205"/>
      <c r="E224" s="205"/>
      <c r="F224" s="205"/>
      <c r="G224" s="205"/>
      <c r="H224" s="205"/>
      <c r="I224" s="205"/>
    </row>
    <row r="225" spans="1:9">
      <c r="A225" s="205"/>
      <c r="B225" s="205"/>
      <c r="C225" s="205"/>
      <c r="D225" s="205"/>
      <c r="E225" s="205"/>
      <c r="F225" s="205"/>
      <c r="G225" s="205"/>
      <c r="H225" s="205"/>
      <c r="I225" s="205"/>
    </row>
    <row r="226" spans="1:9">
      <c r="A226" s="205"/>
      <c r="B226" s="205"/>
      <c r="C226" s="205"/>
      <c r="D226" s="205"/>
      <c r="E226" s="205"/>
      <c r="F226" s="205"/>
      <c r="G226" s="205"/>
      <c r="H226" s="205"/>
      <c r="I226" s="205"/>
    </row>
    <row r="227" spans="1:9">
      <c r="A227" s="205"/>
      <c r="B227" s="205"/>
      <c r="C227" s="205"/>
      <c r="D227" s="205"/>
      <c r="E227" s="205"/>
      <c r="F227" s="205"/>
      <c r="G227" s="205"/>
      <c r="H227" s="205"/>
      <c r="I227" s="205"/>
    </row>
    <row r="228" spans="1:9">
      <c r="A228" s="205"/>
      <c r="B228" s="205"/>
      <c r="C228" s="205"/>
      <c r="D228" s="205"/>
      <c r="E228" s="205"/>
      <c r="F228" s="205"/>
      <c r="G228" s="205"/>
      <c r="H228" s="205"/>
      <c r="I228" s="205"/>
    </row>
    <row r="229" spans="1:9">
      <c r="A229" s="205"/>
      <c r="B229" s="205"/>
      <c r="C229" s="205"/>
      <c r="D229" s="205"/>
      <c r="E229" s="205"/>
      <c r="F229" s="205"/>
      <c r="G229" s="205"/>
      <c r="H229" s="205"/>
      <c r="I229" s="205"/>
    </row>
    <row r="230" spans="1:9">
      <c r="A230" s="205"/>
      <c r="B230" s="205"/>
      <c r="C230" s="205"/>
      <c r="D230" s="205"/>
      <c r="E230" s="205"/>
      <c r="F230" s="205"/>
      <c r="G230" s="205"/>
      <c r="H230" s="205"/>
      <c r="I230" s="205"/>
    </row>
    <row r="231" spans="1:9">
      <c r="A231" s="205"/>
      <c r="B231" s="205"/>
      <c r="C231" s="205"/>
      <c r="D231" s="205"/>
      <c r="E231" s="205"/>
      <c r="F231" s="205"/>
      <c r="G231" s="205"/>
      <c r="H231" s="205"/>
      <c r="I231" s="205"/>
    </row>
    <row r="232" spans="1:9">
      <c r="A232" s="205"/>
      <c r="B232" s="205"/>
      <c r="C232" s="205"/>
      <c r="D232" s="205"/>
      <c r="E232" s="205"/>
      <c r="F232" s="205"/>
      <c r="G232" s="205"/>
      <c r="H232" s="205"/>
      <c r="I232" s="205"/>
    </row>
    <row r="233" spans="1:9">
      <c r="A233" s="205"/>
      <c r="B233" s="205"/>
      <c r="C233" s="205"/>
      <c r="D233" s="205"/>
      <c r="E233" s="205"/>
      <c r="F233" s="205"/>
      <c r="G233" s="205"/>
      <c r="H233" s="205"/>
      <c r="I233" s="205"/>
    </row>
    <row r="234" spans="1:9">
      <c r="A234" s="205"/>
      <c r="B234" s="205"/>
      <c r="C234" s="205"/>
      <c r="D234" s="205"/>
      <c r="E234" s="205"/>
      <c r="F234" s="205"/>
      <c r="G234" s="205"/>
      <c r="H234" s="205"/>
      <c r="I234" s="205"/>
    </row>
    <row r="235" spans="1:9">
      <c r="A235" s="205"/>
      <c r="B235" s="205"/>
      <c r="C235" s="205"/>
      <c r="D235" s="205"/>
      <c r="E235" s="205"/>
      <c r="F235" s="205"/>
      <c r="G235" s="205"/>
      <c r="H235" s="205"/>
      <c r="I235" s="205"/>
    </row>
    <row r="236" spans="1:9">
      <c r="A236" s="205"/>
      <c r="B236" s="205"/>
      <c r="C236" s="205"/>
      <c r="D236" s="205"/>
      <c r="E236" s="205"/>
      <c r="F236" s="205"/>
      <c r="G236" s="205"/>
      <c r="H236" s="205"/>
      <c r="I236" s="205"/>
    </row>
    <row r="237" spans="1:9">
      <c r="A237" s="205"/>
      <c r="B237" s="205"/>
      <c r="C237" s="205"/>
      <c r="D237" s="205"/>
      <c r="E237" s="205"/>
      <c r="F237" s="205"/>
      <c r="G237" s="205"/>
      <c r="H237" s="205"/>
      <c r="I237" s="205"/>
    </row>
    <row r="238" spans="1:9">
      <c r="A238" s="205"/>
      <c r="B238" s="205"/>
      <c r="C238" s="205"/>
      <c r="D238" s="205"/>
      <c r="E238" s="205"/>
      <c r="F238" s="205"/>
      <c r="G238" s="205"/>
      <c r="H238" s="205"/>
      <c r="I238" s="205"/>
    </row>
    <row r="239" spans="1:9">
      <c r="A239" s="205"/>
      <c r="B239" s="205"/>
      <c r="C239" s="205"/>
      <c r="D239" s="205"/>
      <c r="E239" s="205"/>
      <c r="F239" s="205"/>
      <c r="G239" s="205"/>
      <c r="H239" s="205"/>
      <c r="I239" s="205"/>
    </row>
    <row r="240" spans="1:9">
      <c r="A240" s="205"/>
      <c r="B240" s="205"/>
      <c r="C240" s="205"/>
      <c r="D240" s="205"/>
      <c r="E240" s="205"/>
      <c r="F240" s="205"/>
      <c r="G240" s="205"/>
      <c r="H240" s="205"/>
      <c r="I240" s="205"/>
    </row>
    <row r="241" spans="1:9">
      <c r="A241" s="205"/>
      <c r="B241" s="205"/>
      <c r="C241" s="205"/>
      <c r="D241" s="205"/>
      <c r="E241" s="205"/>
      <c r="F241" s="205"/>
      <c r="G241" s="205"/>
      <c r="H241" s="205"/>
      <c r="I241" s="205"/>
    </row>
    <row r="242" spans="1:9">
      <c r="A242" s="205"/>
      <c r="B242" s="205"/>
      <c r="C242" s="205"/>
      <c r="D242" s="205"/>
      <c r="E242" s="205"/>
      <c r="F242" s="205"/>
      <c r="G242" s="205"/>
      <c r="H242" s="205"/>
      <c r="I242" s="205"/>
    </row>
    <row r="243" spans="1:9">
      <c r="A243" s="205"/>
      <c r="B243" s="205"/>
      <c r="C243" s="205"/>
      <c r="D243" s="205"/>
      <c r="E243" s="205"/>
      <c r="F243" s="205"/>
      <c r="G243" s="205"/>
      <c r="H243" s="205"/>
      <c r="I243" s="205"/>
    </row>
    <row r="244" spans="1:9">
      <c r="A244" s="205"/>
      <c r="B244" s="205"/>
      <c r="C244" s="205"/>
      <c r="D244" s="205"/>
      <c r="E244" s="205"/>
      <c r="F244" s="205"/>
      <c r="G244" s="205"/>
      <c r="H244" s="205"/>
      <c r="I244" s="205"/>
    </row>
    <row r="245" spans="1:9">
      <c r="A245" s="205"/>
      <c r="B245" s="205"/>
      <c r="C245" s="205"/>
      <c r="D245" s="205"/>
      <c r="E245" s="205"/>
      <c r="F245" s="205"/>
      <c r="G245" s="205"/>
      <c r="H245" s="205"/>
      <c r="I245" s="205"/>
    </row>
    <row r="246" spans="1:9">
      <c r="A246" s="205"/>
      <c r="B246" s="205"/>
      <c r="C246" s="205"/>
      <c r="D246" s="205"/>
      <c r="E246" s="205"/>
      <c r="F246" s="205"/>
      <c r="G246" s="205"/>
      <c r="H246" s="205"/>
      <c r="I246" s="205"/>
    </row>
    <row r="247" spans="1:9">
      <c r="A247" s="205"/>
      <c r="B247" s="205"/>
      <c r="C247" s="205"/>
      <c r="D247" s="205"/>
      <c r="E247" s="205"/>
      <c r="F247" s="205"/>
      <c r="G247" s="205"/>
      <c r="H247" s="205"/>
      <c r="I247" s="205"/>
    </row>
    <row r="248" spans="1:9">
      <c r="A248" s="205"/>
      <c r="B248" s="205"/>
      <c r="C248" s="205"/>
      <c r="D248" s="205"/>
      <c r="E248" s="205"/>
      <c r="F248" s="205"/>
      <c r="G248" s="205"/>
      <c r="H248" s="205"/>
      <c r="I248" s="205"/>
    </row>
    <row r="249" spans="1:9">
      <c r="A249" s="205"/>
      <c r="B249" s="205"/>
      <c r="C249" s="205"/>
      <c r="D249" s="205"/>
      <c r="E249" s="205"/>
      <c r="F249" s="205"/>
      <c r="G249" s="205"/>
      <c r="H249" s="205"/>
      <c r="I249" s="205"/>
    </row>
    <row r="250" spans="1:9">
      <c r="A250" s="205"/>
      <c r="B250" s="205"/>
      <c r="C250" s="205"/>
      <c r="D250" s="205"/>
      <c r="E250" s="205"/>
      <c r="F250" s="205"/>
      <c r="G250" s="205"/>
      <c r="H250" s="205"/>
      <c r="I250" s="205"/>
    </row>
    <row r="251" spans="1:9">
      <c r="A251" s="205"/>
      <c r="B251" s="205"/>
      <c r="C251" s="205"/>
      <c r="D251" s="205"/>
      <c r="E251" s="205"/>
      <c r="F251" s="205"/>
      <c r="G251" s="205"/>
      <c r="H251" s="205"/>
      <c r="I251" s="205"/>
    </row>
    <row r="252" spans="1:9">
      <c r="A252" s="205"/>
      <c r="B252" s="205"/>
      <c r="C252" s="205"/>
      <c r="D252" s="205"/>
      <c r="E252" s="205"/>
      <c r="F252" s="205"/>
      <c r="G252" s="205"/>
      <c r="H252" s="205"/>
      <c r="I252" s="205"/>
    </row>
    <row r="253" spans="1:9">
      <c r="A253" s="205"/>
      <c r="B253" s="205"/>
      <c r="C253" s="205"/>
      <c r="D253" s="205"/>
      <c r="E253" s="205"/>
      <c r="F253" s="205"/>
      <c r="G253" s="205"/>
      <c r="H253" s="205"/>
      <c r="I253" s="205"/>
    </row>
    <row r="254" spans="1:9">
      <c r="A254" s="205"/>
      <c r="B254" s="205"/>
      <c r="C254" s="205"/>
      <c r="D254" s="205"/>
      <c r="E254" s="205"/>
      <c r="F254" s="205"/>
      <c r="G254" s="205"/>
      <c r="H254" s="205"/>
      <c r="I254" s="205"/>
    </row>
    <row r="255" spans="1:9">
      <c r="A255" s="205"/>
      <c r="B255" s="205"/>
      <c r="C255" s="205"/>
      <c r="D255" s="205"/>
      <c r="E255" s="205"/>
      <c r="F255" s="205"/>
      <c r="G255" s="205"/>
      <c r="H255" s="205"/>
      <c r="I255" s="205"/>
    </row>
    <row r="256" spans="1:9">
      <c r="A256" s="205"/>
      <c r="B256" s="205"/>
      <c r="C256" s="205"/>
      <c r="D256" s="205"/>
      <c r="E256" s="205"/>
      <c r="F256" s="205"/>
      <c r="G256" s="205"/>
      <c r="H256" s="205"/>
      <c r="I256" s="205"/>
    </row>
    <row r="257" spans="1:9">
      <c r="A257" s="205"/>
      <c r="B257" s="205"/>
      <c r="C257" s="205"/>
      <c r="D257" s="205"/>
      <c r="E257" s="205"/>
      <c r="F257" s="205"/>
      <c r="G257" s="205"/>
      <c r="H257" s="205"/>
      <c r="I257" s="205"/>
    </row>
    <row r="258" spans="1:9">
      <c r="A258" s="205"/>
      <c r="B258" s="205"/>
      <c r="C258" s="205"/>
      <c r="D258" s="205"/>
      <c r="E258" s="205"/>
      <c r="F258" s="205"/>
      <c r="G258" s="205"/>
      <c r="H258" s="205"/>
      <c r="I258" s="205"/>
    </row>
    <row r="259" spans="1:9">
      <c r="A259" s="205"/>
      <c r="B259" s="205"/>
      <c r="C259" s="205"/>
      <c r="D259" s="205"/>
      <c r="E259" s="205"/>
      <c r="F259" s="205"/>
      <c r="G259" s="205"/>
      <c r="H259" s="205"/>
      <c r="I259" s="205"/>
    </row>
    <row r="260" spans="1:9">
      <c r="A260" s="205"/>
      <c r="B260" s="205"/>
      <c r="C260" s="205"/>
      <c r="D260" s="205"/>
      <c r="E260" s="205"/>
      <c r="F260" s="205"/>
      <c r="G260" s="205"/>
      <c r="H260" s="205"/>
      <c r="I260" s="205"/>
    </row>
    <row r="261" spans="1:9">
      <c r="A261" s="205"/>
      <c r="B261" s="205"/>
      <c r="C261" s="205"/>
      <c r="D261" s="205"/>
      <c r="E261" s="205"/>
      <c r="F261" s="205"/>
      <c r="G261" s="205"/>
      <c r="H261" s="205"/>
      <c r="I261" s="205"/>
    </row>
    <row r="262" spans="1:9">
      <c r="A262" s="205"/>
      <c r="B262" s="205"/>
      <c r="C262" s="205"/>
      <c r="D262" s="205"/>
      <c r="E262" s="205"/>
      <c r="F262" s="205"/>
      <c r="G262" s="205"/>
      <c r="H262" s="205"/>
      <c r="I262" s="205"/>
    </row>
    <row r="263" spans="1:9">
      <c r="A263" s="205"/>
      <c r="B263" s="205"/>
      <c r="C263" s="205"/>
      <c r="D263" s="205"/>
      <c r="E263" s="205"/>
      <c r="F263" s="205"/>
      <c r="G263" s="205"/>
      <c r="H263" s="205"/>
      <c r="I263" s="205"/>
    </row>
    <row r="264" spans="1:9">
      <c r="A264" s="205"/>
      <c r="B264" s="205"/>
      <c r="C264" s="205"/>
      <c r="D264" s="205"/>
      <c r="E264" s="205"/>
      <c r="F264" s="205"/>
      <c r="G264" s="205"/>
      <c r="H264" s="205"/>
      <c r="I264" s="205"/>
    </row>
    <row r="265" spans="1:9">
      <c r="A265" s="205"/>
      <c r="B265" s="205"/>
      <c r="C265" s="205"/>
      <c r="D265" s="205"/>
      <c r="E265" s="205"/>
      <c r="F265" s="205"/>
      <c r="G265" s="205"/>
      <c r="H265" s="205"/>
      <c r="I265" s="205"/>
    </row>
    <row r="266" spans="1:9">
      <c r="A266" s="205"/>
      <c r="B266" s="205"/>
      <c r="C266" s="205"/>
      <c r="D266" s="205"/>
      <c r="E266" s="205"/>
      <c r="F266" s="205"/>
      <c r="G266" s="205"/>
      <c r="H266" s="205"/>
      <c r="I266" s="205"/>
    </row>
    <row r="267" spans="1:9">
      <c r="A267" s="205"/>
      <c r="B267" s="205"/>
      <c r="C267" s="205"/>
      <c r="D267" s="205"/>
      <c r="E267" s="205"/>
      <c r="F267" s="205"/>
      <c r="G267" s="205"/>
      <c r="H267" s="205"/>
      <c r="I267" s="205"/>
    </row>
    <row r="268" spans="1:9">
      <c r="A268" s="205"/>
      <c r="B268" s="205"/>
      <c r="C268" s="205"/>
      <c r="D268" s="205"/>
      <c r="E268" s="205"/>
      <c r="F268" s="205"/>
      <c r="G268" s="205"/>
      <c r="H268" s="205"/>
      <c r="I268" s="205"/>
    </row>
    <row r="269" spans="1:9">
      <c r="A269" s="205"/>
      <c r="B269" s="205"/>
      <c r="C269" s="205"/>
      <c r="D269" s="205"/>
      <c r="E269" s="205"/>
      <c r="F269" s="205"/>
      <c r="G269" s="205"/>
      <c r="H269" s="205"/>
      <c r="I269" s="205"/>
    </row>
    <row r="270" spans="1:9">
      <c r="A270" s="205"/>
      <c r="B270" s="205"/>
      <c r="C270" s="205"/>
      <c r="D270" s="205"/>
      <c r="E270" s="205"/>
      <c r="F270" s="205"/>
      <c r="G270" s="205"/>
      <c r="H270" s="205"/>
      <c r="I270" s="205"/>
    </row>
    <row r="271" spans="1:9">
      <c r="A271" s="205"/>
      <c r="B271" s="205"/>
      <c r="C271" s="205"/>
      <c r="D271" s="205"/>
      <c r="E271" s="205"/>
      <c r="F271" s="205"/>
      <c r="G271" s="205"/>
      <c r="H271" s="205"/>
      <c r="I271" s="205"/>
    </row>
    <row r="272" spans="1:9">
      <c r="A272" s="205"/>
      <c r="B272" s="205"/>
      <c r="C272" s="205"/>
      <c r="D272" s="205"/>
      <c r="E272" s="205"/>
      <c r="F272" s="205"/>
      <c r="G272" s="205"/>
      <c r="H272" s="205"/>
      <c r="I272" s="205"/>
    </row>
    <row r="273" spans="1:9">
      <c r="A273" s="205"/>
      <c r="B273" s="205"/>
      <c r="C273" s="205"/>
      <c r="D273" s="205"/>
      <c r="E273" s="205"/>
      <c r="F273" s="205"/>
      <c r="G273" s="205"/>
      <c r="H273" s="205"/>
      <c r="I273" s="205"/>
    </row>
    <row r="274" spans="1:9">
      <c r="A274" s="205"/>
      <c r="B274" s="205"/>
      <c r="C274" s="205"/>
      <c r="D274" s="205"/>
      <c r="E274" s="205"/>
      <c r="F274" s="205"/>
      <c r="G274" s="205"/>
      <c r="H274" s="205"/>
      <c r="I274" s="205"/>
    </row>
    <row r="275" spans="1:9">
      <c r="A275" s="205"/>
      <c r="B275" s="205"/>
      <c r="C275" s="205"/>
      <c r="D275" s="205"/>
      <c r="E275" s="205"/>
      <c r="F275" s="205"/>
      <c r="G275" s="205"/>
      <c r="H275" s="205"/>
      <c r="I275" s="205"/>
    </row>
    <row r="276" spans="1:9">
      <c r="A276" s="205"/>
      <c r="B276" s="205"/>
      <c r="C276" s="205"/>
      <c r="D276" s="205"/>
      <c r="E276" s="205"/>
      <c r="F276" s="205"/>
      <c r="G276" s="205"/>
      <c r="H276" s="205"/>
      <c r="I276" s="205"/>
    </row>
    <row r="277" spans="1:9">
      <c r="A277" s="205"/>
      <c r="B277" s="205"/>
      <c r="C277" s="205"/>
      <c r="D277" s="205"/>
      <c r="E277" s="205"/>
      <c r="F277" s="205"/>
      <c r="G277" s="205"/>
      <c r="H277" s="205"/>
      <c r="I277" s="205"/>
    </row>
    <row r="278" spans="1:9">
      <c r="A278" s="205"/>
      <c r="B278" s="205"/>
      <c r="C278" s="205"/>
      <c r="D278" s="205"/>
      <c r="E278" s="205"/>
      <c r="F278" s="205"/>
      <c r="G278" s="205"/>
      <c r="H278" s="205"/>
      <c r="I278" s="205"/>
    </row>
    <row r="279" spans="1:9">
      <c r="A279" s="205"/>
      <c r="B279" s="205"/>
      <c r="C279" s="205"/>
      <c r="D279" s="205"/>
      <c r="E279" s="205"/>
      <c r="F279" s="205"/>
      <c r="G279" s="205"/>
      <c r="H279" s="205"/>
      <c r="I279" s="205"/>
    </row>
    <row r="280" spans="1:9">
      <c r="A280" s="205"/>
      <c r="B280" s="205"/>
      <c r="C280" s="205"/>
      <c r="D280" s="205"/>
      <c r="E280" s="205"/>
      <c r="F280" s="205"/>
      <c r="G280" s="205"/>
      <c r="H280" s="205"/>
      <c r="I280" s="205"/>
    </row>
    <row r="281" spans="1:9">
      <c r="A281" s="205"/>
      <c r="B281" s="205"/>
      <c r="C281" s="205"/>
      <c r="D281" s="205"/>
      <c r="E281" s="205"/>
      <c r="F281" s="205"/>
      <c r="G281" s="205"/>
      <c r="H281" s="205"/>
      <c r="I281" s="205"/>
    </row>
    <row r="282" spans="1:9">
      <c r="A282" s="205"/>
      <c r="B282" s="205"/>
      <c r="C282" s="205"/>
      <c r="D282" s="205"/>
      <c r="E282" s="205"/>
      <c r="F282" s="205"/>
      <c r="G282" s="205"/>
      <c r="H282" s="205"/>
      <c r="I282" s="205"/>
    </row>
    <row r="283" spans="1:9">
      <c r="A283" s="205"/>
      <c r="B283" s="205"/>
      <c r="C283" s="205"/>
      <c r="D283" s="205"/>
      <c r="E283" s="205"/>
      <c r="F283" s="205"/>
      <c r="G283" s="205"/>
      <c r="H283" s="205"/>
      <c r="I283" s="205"/>
    </row>
    <row r="284" spans="1:9">
      <c r="A284" s="205"/>
      <c r="B284" s="205"/>
      <c r="C284" s="205"/>
      <c r="D284" s="205"/>
      <c r="E284" s="205"/>
      <c r="F284" s="205"/>
      <c r="G284" s="205"/>
      <c r="H284" s="205"/>
      <c r="I284" s="205"/>
    </row>
    <row r="285" spans="1:9">
      <c r="A285" s="205"/>
      <c r="B285" s="205"/>
      <c r="C285" s="205"/>
      <c r="D285" s="205"/>
      <c r="E285" s="205"/>
      <c r="F285" s="205"/>
      <c r="G285" s="205"/>
      <c r="H285" s="205"/>
      <c r="I285" s="205"/>
    </row>
    <row r="286" spans="1:9">
      <c r="A286" s="205"/>
      <c r="B286" s="205"/>
      <c r="C286" s="205"/>
      <c r="D286" s="205"/>
      <c r="E286" s="205"/>
      <c r="F286" s="205"/>
      <c r="G286" s="205"/>
      <c r="H286" s="205"/>
      <c r="I286" s="205"/>
    </row>
    <row r="287" spans="1:9">
      <c r="A287" s="205"/>
      <c r="B287" s="205"/>
      <c r="C287" s="205"/>
      <c r="D287" s="205"/>
      <c r="E287" s="205"/>
      <c r="F287" s="205"/>
      <c r="G287" s="205"/>
      <c r="H287" s="205"/>
      <c r="I287" s="205"/>
    </row>
    <row r="288" spans="1:9">
      <c r="A288" s="205"/>
      <c r="B288" s="205"/>
      <c r="C288" s="205"/>
      <c r="D288" s="205"/>
      <c r="E288" s="205"/>
      <c r="F288" s="205"/>
      <c r="G288" s="205"/>
      <c r="H288" s="205"/>
      <c r="I288" s="205"/>
    </row>
    <row r="289" spans="1:9">
      <c r="A289" s="205"/>
      <c r="B289" s="205"/>
      <c r="C289" s="205"/>
      <c r="D289" s="205"/>
      <c r="E289" s="205"/>
      <c r="F289" s="205"/>
      <c r="G289" s="205"/>
      <c r="H289" s="205"/>
      <c r="I289" s="205"/>
    </row>
    <row r="290" spans="1:9">
      <c r="A290" s="205"/>
      <c r="B290" s="205"/>
      <c r="C290" s="205"/>
      <c r="D290" s="205"/>
      <c r="E290" s="205"/>
      <c r="F290" s="205"/>
      <c r="G290" s="205"/>
      <c r="H290" s="205"/>
      <c r="I290" s="205"/>
    </row>
    <row r="291" spans="1:9">
      <c r="A291" s="205"/>
      <c r="B291" s="205"/>
      <c r="C291" s="205"/>
      <c r="D291" s="205"/>
      <c r="E291" s="205"/>
      <c r="F291" s="205"/>
      <c r="G291" s="205"/>
      <c r="H291" s="205"/>
      <c r="I291" s="205"/>
    </row>
    <row r="292" spans="1:9">
      <c r="A292" s="205"/>
      <c r="B292" s="205"/>
      <c r="C292" s="205"/>
      <c r="D292" s="205"/>
      <c r="E292" s="205"/>
      <c r="F292" s="205"/>
      <c r="G292" s="205"/>
      <c r="H292" s="205"/>
      <c r="I292" s="205"/>
    </row>
    <row r="293" spans="1:9">
      <c r="A293" s="205"/>
      <c r="B293" s="205"/>
      <c r="C293" s="205"/>
      <c r="D293" s="205"/>
      <c r="E293" s="205"/>
      <c r="F293" s="205"/>
      <c r="G293" s="205"/>
      <c r="H293" s="205"/>
      <c r="I293" s="205"/>
    </row>
    <row r="294" spans="1:9">
      <c r="A294" s="205"/>
      <c r="B294" s="205"/>
      <c r="C294" s="205"/>
      <c r="D294" s="205"/>
      <c r="E294" s="205"/>
      <c r="F294" s="205"/>
      <c r="G294" s="205"/>
      <c r="H294" s="205"/>
      <c r="I294" s="205"/>
    </row>
    <row r="295" spans="1:9">
      <c r="A295" s="205"/>
      <c r="B295" s="205"/>
      <c r="C295" s="205"/>
      <c r="D295" s="205"/>
      <c r="E295" s="205"/>
      <c r="F295" s="205"/>
      <c r="G295" s="205"/>
      <c r="H295" s="205"/>
      <c r="I295" s="205"/>
    </row>
    <row r="296" spans="1:9">
      <c r="A296" s="205"/>
      <c r="B296" s="205"/>
      <c r="C296" s="205"/>
      <c r="D296" s="205"/>
      <c r="E296" s="205"/>
      <c r="F296" s="205"/>
      <c r="G296" s="205"/>
      <c r="H296" s="205"/>
      <c r="I296" s="205"/>
    </row>
    <row r="297" spans="1:9">
      <c r="A297" s="205"/>
      <c r="B297" s="205"/>
      <c r="C297" s="205"/>
      <c r="D297" s="205"/>
      <c r="E297" s="205"/>
      <c r="F297" s="205"/>
      <c r="G297" s="205"/>
      <c r="H297" s="205"/>
      <c r="I297" s="205"/>
    </row>
    <row r="298" spans="1:9">
      <c r="A298" s="205"/>
      <c r="B298" s="205"/>
      <c r="C298" s="205"/>
      <c r="D298" s="205"/>
      <c r="E298" s="205"/>
      <c r="F298" s="205"/>
      <c r="G298" s="205"/>
      <c r="H298" s="205"/>
      <c r="I298" s="205"/>
    </row>
    <row r="299" spans="1:9">
      <c r="A299" s="205"/>
      <c r="B299" s="205"/>
      <c r="C299" s="205"/>
      <c r="D299" s="205"/>
      <c r="E299" s="205"/>
      <c r="F299" s="205"/>
      <c r="G299" s="205"/>
      <c r="H299" s="205"/>
      <c r="I299" s="205"/>
    </row>
    <row r="300" spans="1:9">
      <c r="A300" s="205"/>
      <c r="B300" s="205"/>
      <c r="C300" s="205"/>
      <c r="D300" s="205"/>
      <c r="E300" s="205"/>
      <c r="F300" s="205"/>
      <c r="G300" s="205"/>
      <c r="H300" s="205"/>
      <c r="I300" s="205"/>
    </row>
    <row r="301" spans="1:9">
      <c r="A301" s="205"/>
      <c r="B301" s="205"/>
      <c r="C301" s="205"/>
      <c r="D301" s="205"/>
      <c r="E301" s="205"/>
      <c r="F301" s="205"/>
      <c r="G301" s="205"/>
      <c r="H301" s="205"/>
      <c r="I301" s="205"/>
    </row>
    <row r="302" spans="1:9">
      <c r="A302" s="205"/>
      <c r="B302" s="205"/>
      <c r="C302" s="205"/>
      <c r="D302" s="205"/>
      <c r="E302" s="205"/>
      <c r="F302" s="205"/>
      <c r="G302" s="205"/>
      <c r="H302" s="205"/>
      <c r="I302" s="205"/>
    </row>
    <row r="303" spans="1:9">
      <c r="A303" s="205"/>
      <c r="B303" s="205"/>
      <c r="C303" s="205"/>
      <c r="D303" s="205"/>
      <c r="E303" s="205"/>
      <c r="F303" s="205"/>
      <c r="G303" s="205"/>
      <c r="H303" s="205"/>
      <c r="I303" s="205"/>
    </row>
    <row r="304" spans="1:9">
      <c r="A304" s="205"/>
      <c r="B304" s="205"/>
      <c r="C304" s="205"/>
      <c r="D304" s="205"/>
      <c r="E304" s="205"/>
      <c r="F304" s="205"/>
      <c r="G304" s="205"/>
      <c r="H304" s="205"/>
      <c r="I304" s="205"/>
    </row>
    <row r="305" spans="1:9">
      <c r="A305" s="205"/>
      <c r="B305" s="205"/>
      <c r="C305" s="205"/>
      <c r="D305" s="205"/>
      <c r="E305" s="205"/>
      <c r="F305" s="205"/>
      <c r="G305" s="205"/>
      <c r="H305" s="205"/>
      <c r="I305" s="205"/>
    </row>
    <row r="306" spans="1:9">
      <c r="A306" s="205"/>
      <c r="B306" s="205"/>
      <c r="C306" s="205"/>
      <c r="D306" s="205"/>
      <c r="E306" s="205"/>
      <c r="F306" s="205"/>
      <c r="G306" s="205"/>
      <c r="H306" s="205"/>
      <c r="I306" s="205"/>
    </row>
    <row r="307" spans="1:9">
      <c r="A307" s="205"/>
      <c r="B307" s="205"/>
      <c r="C307" s="205"/>
      <c r="D307" s="205"/>
      <c r="E307" s="205"/>
      <c r="F307" s="205"/>
      <c r="G307" s="205"/>
      <c r="H307" s="205"/>
      <c r="I307" s="205"/>
    </row>
    <row r="308" spans="1:9">
      <c r="A308" s="205"/>
      <c r="B308" s="205"/>
      <c r="C308" s="205"/>
      <c r="D308" s="205"/>
      <c r="E308" s="205"/>
      <c r="F308" s="205"/>
      <c r="G308" s="205"/>
      <c r="H308" s="205"/>
      <c r="I308" s="205"/>
    </row>
    <row r="309" spans="1:9">
      <c r="A309" s="205"/>
      <c r="B309" s="205"/>
      <c r="C309" s="205"/>
      <c r="D309" s="205"/>
      <c r="E309" s="205"/>
      <c r="F309" s="205"/>
      <c r="G309" s="205"/>
      <c r="H309" s="205"/>
      <c r="I309" s="205"/>
    </row>
    <row r="310" spans="1:9">
      <c r="A310" s="205"/>
      <c r="B310" s="205"/>
      <c r="C310" s="205"/>
      <c r="D310" s="205"/>
      <c r="E310" s="205"/>
      <c r="F310" s="205"/>
      <c r="G310" s="205"/>
      <c r="H310" s="205"/>
      <c r="I310" s="205"/>
    </row>
    <row r="311" spans="1:9">
      <c r="A311" s="205"/>
      <c r="B311" s="205"/>
      <c r="C311" s="205"/>
      <c r="D311" s="205"/>
      <c r="E311" s="205"/>
      <c r="F311" s="205"/>
      <c r="G311" s="205"/>
      <c r="H311" s="205"/>
      <c r="I311" s="205"/>
    </row>
    <row r="312" spans="1:9">
      <c r="A312" s="205"/>
      <c r="B312" s="205"/>
      <c r="C312" s="205"/>
      <c r="D312" s="205"/>
      <c r="E312" s="205"/>
      <c r="F312" s="205"/>
      <c r="G312" s="205"/>
      <c r="H312" s="205"/>
      <c r="I312" s="205"/>
    </row>
    <row r="313" spans="1:9">
      <c r="A313" s="205"/>
      <c r="B313" s="205"/>
      <c r="C313" s="205"/>
      <c r="D313" s="205"/>
      <c r="E313" s="205"/>
      <c r="F313" s="205"/>
      <c r="G313" s="205"/>
      <c r="H313" s="205"/>
      <c r="I313" s="205"/>
    </row>
    <row r="314" spans="1:9">
      <c r="A314" s="205"/>
      <c r="B314" s="205"/>
      <c r="C314" s="205"/>
      <c r="D314" s="205"/>
      <c r="E314" s="205"/>
      <c r="F314" s="205"/>
      <c r="G314" s="205"/>
      <c r="H314" s="205"/>
      <c r="I314" s="205"/>
    </row>
    <row r="315" spans="1:9">
      <c r="A315" s="205"/>
      <c r="B315" s="205"/>
      <c r="C315" s="205"/>
      <c r="D315" s="205"/>
      <c r="E315" s="205"/>
      <c r="F315" s="205"/>
      <c r="G315" s="205"/>
      <c r="H315" s="205"/>
      <c r="I315" s="205"/>
    </row>
    <row r="316" spans="1:9">
      <c r="A316" s="205"/>
      <c r="B316" s="205"/>
      <c r="C316" s="205"/>
      <c r="D316" s="205"/>
      <c r="E316" s="205"/>
      <c r="F316" s="205"/>
      <c r="G316" s="205"/>
      <c r="H316" s="205"/>
      <c r="I316" s="205"/>
    </row>
    <row r="317" spans="1:9">
      <c r="A317" s="205"/>
      <c r="B317" s="205"/>
      <c r="C317" s="205"/>
      <c r="D317" s="205"/>
      <c r="E317" s="205"/>
      <c r="F317" s="205"/>
      <c r="G317" s="205"/>
      <c r="H317" s="205"/>
      <c r="I317" s="205"/>
    </row>
    <row r="318" spans="1:9">
      <c r="A318" s="205"/>
      <c r="B318" s="205"/>
      <c r="C318" s="205"/>
      <c r="D318" s="205"/>
      <c r="E318" s="205"/>
      <c r="F318" s="205"/>
      <c r="G318" s="205"/>
      <c r="H318" s="205"/>
      <c r="I318" s="205"/>
    </row>
    <row r="319" spans="1:9">
      <c r="A319" s="205"/>
      <c r="B319" s="205"/>
      <c r="C319" s="205"/>
      <c r="D319" s="205"/>
      <c r="E319" s="205"/>
      <c r="F319" s="205"/>
      <c r="G319" s="205"/>
      <c r="H319" s="205"/>
      <c r="I319" s="205"/>
    </row>
    <row r="320" spans="1:9">
      <c r="A320" s="205"/>
      <c r="B320" s="205"/>
      <c r="C320" s="205"/>
      <c r="D320" s="205"/>
      <c r="E320" s="205"/>
      <c r="F320" s="205"/>
      <c r="G320" s="205"/>
      <c r="H320" s="205"/>
      <c r="I320" s="205"/>
    </row>
    <row r="321" spans="1:9">
      <c r="A321" s="205"/>
      <c r="B321" s="205"/>
      <c r="C321" s="205"/>
      <c r="D321" s="205"/>
      <c r="E321" s="205"/>
      <c r="F321" s="205"/>
      <c r="G321" s="205"/>
      <c r="H321" s="205"/>
      <c r="I321" s="205"/>
    </row>
    <row r="322" spans="1:9">
      <c r="A322" s="205"/>
      <c r="B322" s="205"/>
      <c r="C322" s="205"/>
      <c r="D322" s="205"/>
      <c r="E322" s="205"/>
      <c r="F322" s="205"/>
      <c r="G322" s="205"/>
      <c r="H322" s="205"/>
      <c r="I322" s="205"/>
    </row>
    <row r="323" spans="1:9">
      <c r="A323" s="205"/>
      <c r="B323" s="205"/>
      <c r="C323" s="205"/>
      <c r="D323" s="205"/>
      <c r="E323" s="205"/>
      <c r="F323" s="205"/>
      <c r="G323" s="205"/>
      <c r="H323" s="205"/>
      <c r="I323" s="205"/>
    </row>
    <row r="324" spans="1:9">
      <c r="A324" s="205"/>
      <c r="B324" s="205"/>
      <c r="C324" s="205"/>
      <c r="D324" s="205"/>
      <c r="E324" s="205"/>
      <c r="F324" s="205"/>
      <c r="G324" s="205"/>
      <c r="H324" s="205"/>
      <c r="I324" s="205"/>
    </row>
    <row r="325" spans="1:9">
      <c r="A325" s="205"/>
      <c r="B325" s="205"/>
      <c r="C325" s="205"/>
      <c r="D325" s="205"/>
      <c r="E325" s="205"/>
      <c r="F325" s="205"/>
      <c r="G325" s="205"/>
      <c r="H325" s="205"/>
      <c r="I325" s="205"/>
    </row>
    <row r="326" spans="1:9">
      <c r="A326" s="205"/>
      <c r="B326" s="205"/>
      <c r="C326" s="205"/>
      <c r="D326" s="205"/>
      <c r="E326" s="205"/>
      <c r="F326" s="205"/>
      <c r="G326" s="205"/>
      <c r="H326" s="205"/>
      <c r="I326" s="205"/>
    </row>
    <row r="327" spans="1:9">
      <c r="A327" s="205"/>
      <c r="B327" s="205"/>
      <c r="C327" s="205"/>
      <c r="D327" s="205"/>
      <c r="E327" s="205"/>
      <c r="F327" s="205"/>
      <c r="G327" s="205"/>
      <c r="H327" s="205"/>
      <c r="I327" s="205"/>
    </row>
    <row r="328" spans="1:9">
      <c r="A328" s="205"/>
      <c r="B328" s="205"/>
      <c r="C328" s="205"/>
      <c r="D328" s="205"/>
      <c r="E328" s="205"/>
      <c r="F328" s="205"/>
      <c r="G328" s="205"/>
      <c r="H328" s="205"/>
      <c r="I328" s="205"/>
    </row>
    <row r="329" spans="1:9">
      <c r="A329" s="205"/>
      <c r="B329" s="205"/>
      <c r="C329" s="205"/>
      <c r="D329" s="205"/>
      <c r="E329" s="205"/>
      <c r="F329" s="205"/>
      <c r="G329" s="205"/>
      <c r="H329" s="205"/>
      <c r="I329" s="205"/>
    </row>
    <row r="330" spans="1:9">
      <c r="A330" s="205"/>
      <c r="B330" s="205"/>
      <c r="C330" s="205"/>
      <c r="D330" s="205"/>
      <c r="E330" s="205"/>
      <c r="F330" s="205"/>
      <c r="G330" s="205"/>
      <c r="H330" s="205"/>
      <c r="I330" s="205"/>
    </row>
    <row r="331" spans="1:9">
      <c r="A331" s="205"/>
      <c r="B331" s="205"/>
      <c r="C331" s="205"/>
      <c r="D331" s="205"/>
      <c r="E331" s="205"/>
      <c r="F331" s="205"/>
      <c r="G331" s="205"/>
      <c r="H331" s="205"/>
      <c r="I331" s="205"/>
    </row>
    <row r="332" spans="1:9">
      <c r="A332" s="205"/>
      <c r="B332" s="205"/>
      <c r="C332" s="205"/>
      <c r="D332" s="205"/>
      <c r="E332" s="205"/>
      <c r="F332" s="205"/>
      <c r="G332" s="205"/>
      <c r="H332" s="205"/>
      <c r="I332" s="205"/>
    </row>
    <row r="333" spans="1:9">
      <c r="A333" s="205"/>
      <c r="B333" s="205"/>
      <c r="C333" s="205"/>
      <c r="D333" s="205"/>
      <c r="E333" s="205"/>
      <c r="F333" s="205"/>
      <c r="G333" s="205"/>
      <c r="H333" s="205"/>
      <c r="I333" s="205"/>
    </row>
    <row r="334" spans="1:9">
      <c r="A334" s="205"/>
      <c r="B334" s="205"/>
      <c r="C334" s="205"/>
      <c r="D334" s="205"/>
      <c r="E334" s="205"/>
      <c r="F334" s="205"/>
      <c r="G334" s="205"/>
      <c r="H334" s="205"/>
      <c r="I334" s="205"/>
    </row>
    <row r="335" spans="1:9">
      <c r="A335" s="205"/>
      <c r="B335" s="205"/>
      <c r="C335" s="205"/>
      <c r="D335" s="205"/>
      <c r="E335" s="205"/>
      <c r="F335" s="205"/>
      <c r="G335" s="205"/>
      <c r="H335" s="205"/>
      <c r="I335" s="205"/>
    </row>
    <row r="336" spans="1:9">
      <c r="A336" s="205"/>
      <c r="B336" s="205"/>
      <c r="C336" s="205"/>
      <c r="D336" s="205"/>
      <c r="E336" s="205"/>
      <c r="F336" s="205"/>
      <c r="G336" s="205"/>
      <c r="H336" s="205"/>
      <c r="I336" s="205"/>
    </row>
    <row r="337" spans="1:9">
      <c r="A337" s="205"/>
      <c r="B337" s="205"/>
      <c r="C337" s="205"/>
      <c r="D337" s="205"/>
      <c r="E337" s="205"/>
      <c r="F337" s="205"/>
      <c r="G337" s="205"/>
      <c r="H337" s="205"/>
      <c r="I337" s="205"/>
    </row>
    <row r="338" spans="1:9">
      <c r="A338" s="205"/>
      <c r="B338" s="205"/>
      <c r="C338" s="205"/>
      <c r="D338" s="205"/>
      <c r="E338" s="205"/>
      <c r="F338" s="205"/>
      <c r="G338" s="205"/>
      <c r="H338" s="205"/>
      <c r="I338" s="205"/>
    </row>
    <row r="339" spans="1:9">
      <c r="A339" s="205"/>
      <c r="B339" s="205"/>
      <c r="C339" s="205"/>
      <c r="D339" s="205"/>
      <c r="E339" s="205"/>
      <c r="F339" s="205"/>
      <c r="G339" s="205"/>
      <c r="H339" s="205"/>
      <c r="I339" s="205"/>
    </row>
    <row r="340" spans="1:9">
      <c r="A340" s="205"/>
      <c r="B340" s="205"/>
      <c r="C340" s="205"/>
      <c r="D340" s="205"/>
      <c r="E340" s="205"/>
      <c r="F340" s="205"/>
      <c r="G340" s="205"/>
      <c r="H340" s="205"/>
      <c r="I340" s="205"/>
    </row>
    <row r="341" spans="1:9">
      <c r="A341" s="205"/>
      <c r="B341" s="205"/>
      <c r="C341" s="205"/>
      <c r="D341" s="205"/>
      <c r="E341" s="205"/>
      <c r="F341" s="205"/>
      <c r="G341" s="205"/>
      <c r="H341" s="205"/>
      <c r="I341" s="205"/>
    </row>
    <row r="342" spans="1:9">
      <c r="A342" s="205"/>
      <c r="B342" s="205"/>
      <c r="C342" s="205"/>
      <c r="D342" s="205"/>
      <c r="E342" s="205"/>
      <c r="F342" s="205"/>
      <c r="G342" s="205"/>
      <c r="H342" s="205"/>
      <c r="I342" s="205"/>
    </row>
    <row r="343" spans="1:9">
      <c r="A343" s="205"/>
      <c r="B343" s="205"/>
      <c r="C343" s="205"/>
      <c r="D343" s="205"/>
      <c r="E343" s="205"/>
      <c r="F343" s="205"/>
      <c r="G343" s="205"/>
      <c r="H343" s="205"/>
      <c r="I343" s="205"/>
    </row>
    <row r="344" spans="1:9">
      <c r="A344" s="205"/>
      <c r="B344" s="205"/>
      <c r="C344" s="205"/>
      <c r="D344" s="205"/>
      <c r="E344" s="205"/>
      <c r="F344" s="205"/>
      <c r="G344" s="205"/>
      <c r="H344" s="205"/>
      <c r="I344" s="205"/>
    </row>
    <row r="345" spans="1:9">
      <c r="A345" s="205"/>
      <c r="B345" s="205"/>
      <c r="C345" s="205"/>
      <c r="D345" s="205"/>
      <c r="E345" s="205"/>
      <c r="F345" s="205"/>
      <c r="G345" s="205"/>
      <c r="H345" s="205"/>
      <c r="I345" s="205"/>
    </row>
    <row r="346" spans="1:9">
      <c r="A346" s="205"/>
      <c r="B346" s="205"/>
      <c r="C346" s="205"/>
      <c r="D346" s="205"/>
      <c r="E346" s="205"/>
      <c r="F346" s="205"/>
      <c r="G346" s="205"/>
      <c r="H346" s="205"/>
      <c r="I346" s="205"/>
    </row>
    <row r="347" spans="1:9">
      <c r="A347" s="205"/>
      <c r="B347" s="205"/>
      <c r="C347" s="205"/>
      <c r="D347" s="205"/>
      <c r="E347" s="205"/>
      <c r="F347" s="205"/>
      <c r="G347" s="205"/>
      <c r="H347" s="205"/>
      <c r="I347" s="205"/>
    </row>
    <row r="348" spans="1:9">
      <c r="A348" s="205"/>
      <c r="B348" s="205"/>
      <c r="C348" s="205"/>
      <c r="D348" s="205"/>
      <c r="E348" s="205"/>
      <c r="F348" s="205"/>
      <c r="G348" s="205"/>
      <c r="H348" s="205"/>
      <c r="I348" s="205"/>
    </row>
    <row r="349" spans="1:9">
      <c r="A349" s="205"/>
      <c r="B349" s="205"/>
      <c r="C349" s="205"/>
      <c r="D349" s="205"/>
      <c r="E349" s="205"/>
      <c r="F349" s="205"/>
      <c r="G349" s="205"/>
      <c r="H349" s="205"/>
      <c r="I349" s="205"/>
    </row>
    <row r="350" spans="1:9">
      <c r="A350" s="205"/>
      <c r="B350" s="205"/>
      <c r="C350" s="205"/>
      <c r="D350" s="205"/>
      <c r="E350" s="205"/>
      <c r="F350" s="205"/>
      <c r="G350" s="205"/>
      <c r="H350" s="205"/>
      <c r="I350" s="205"/>
    </row>
    <row r="351" spans="1:9">
      <c r="A351" s="205"/>
      <c r="B351" s="205"/>
      <c r="C351" s="205"/>
      <c r="D351" s="205"/>
      <c r="E351" s="205"/>
      <c r="F351" s="205"/>
      <c r="G351" s="205"/>
      <c r="H351" s="205"/>
      <c r="I351" s="205"/>
    </row>
    <row r="352" spans="1:9">
      <c r="A352" s="205"/>
      <c r="B352" s="205"/>
      <c r="C352" s="205"/>
      <c r="D352" s="205"/>
      <c r="E352" s="205"/>
      <c r="F352" s="205"/>
      <c r="G352" s="205"/>
      <c r="H352" s="205"/>
      <c r="I352" s="205"/>
    </row>
    <row r="353" spans="1:9">
      <c r="A353" s="205"/>
      <c r="B353" s="205"/>
      <c r="C353" s="205"/>
      <c r="D353" s="205"/>
      <c r="E353" s="205"/>
      <c r="F353" s="205"/>
      <c r="G353" s="205"/>
      <c r="H353" s="205"/>
      <c r="I353" s="205"/>
    </row>
    <row r="354" spans="1:9">
      <c r="A354" s="205"/>
      <c r="B354" s="205"/>
      <c r="C354" s="205"/>
      <c r="D354" s="205"/>
      <c r="E354" s="205"/>
      <c r="F354" s="205"/>
      <c r="G354" s="205"/>
      <c r="H354" s="205"/>
      <c r="I354" s="205"/>
    </row>
  </sheetData>
  <mergeCells count="8">
    <mergeCell ref="D2:F2"/>
    <mergeCell ref="M2:O2"/>
    <mergeCell ref="B3:N3"/>
    <mergeCell ref="B4:N4"/>
    <mergeCell ref="B129:H129"/>
    <mergeCell ref="B117:G117"/>
    <mergeCell ref="B118:H118"/>
    <mergeCell ref="E8:F8"/>
  </mergeCells>
  <phoneticPr fontId="0" type="noConversion"/>
  <printOptions horizontalCentered="1"/>
  <pageMargins left="0.59055118110236227" right="0.39370078740157483" top="0.51181102362204722" bottom="0.47244094488188981" header="0" footer="0"/>
  <pageSetup paperSize="9" orientation="portrait" blackAndWhite="1" horizontalDpi="300" verticalDpi="300" r:id="rId1"/>
  <headerFooter alignWithMargins="0">
    <oddFooter>&amp;Rต้นทุน AC &amp;P / &amp;N</oddFooter>
  </headerFooter>
  <rowBreaks count="3" manualBreakCount="3">
    <brk id="49" max="16383" man="1"/>
    <brk id="84" max="16383" man="1"/>
    <brk id="116" max="16383" man="1"/>
  </rowBreaks>
  <ignoredErrors>
    <ignoredError sqref="M121 H136" unlockedFormula="1"/>
    <ignoredError sqref="M115 M137" evalError="1"/>
    <ignoredError sqref="M132" evalError="1" unlocked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rgb="FFFFC000"/>
  </sheetPr>
  <dimension ref="A1:DL281"/>
  <sheetViews>
    <sheetView showZeros="0" zoomScale="120" zoomScaleNormal="120" zoomScaleSheetLayoutView="100" workbookViewId="0">
      <selection activeCell="P8" sqref="P8"/>
    </sheetView>
  </sheetViews>
  <sheetFormatPr defaultColWidth="9.140625" defaultRowHeight="18.75"/>
  <cols>
    <col min="1" max="1" width="2.7109375" style="283" customWidth="1"/>
    <col min="2" max="2" width="7" style="283" customWidth="1"/>
    <col min="3" max="3" width="5.7109375" style="283" customWidth="1"/>
    <col min="4" max="4" width="8.140625" style="283" customWidth="1"/>
    <col min="5" max="5" width="6" style="283" customWidth="1"/>
    <col min="6" max="6" width="6.85546875" style="283" customWidth="1"/>
    <col min="7" max="7" width="6.7109375" style="283" customWidth="1"/>
    <col min="8" max="8" width="12.140625" style="283" customWidth="1"/>
    <col min="9" max="9" width="7.85546875" style="283" customWidth="1"/>
    <col min="10" max="10" width="9" style="283" customWidth="1"/>
    <col min="11" max="11" width="5.7109375" style="283" customWidth="1"/>
    <col min="12" max="12" width="4" style="283" customWidth="1"/>
    <col min="13" max="13" width="8.85546875" style="283" customWidth="1"/>
    <col min="14" max="14" width="8.28515625" style="283" bestFit="1" customWidth="1"/>
    <col min="15" max="15" width="3.28515625" style="283" customWidth="1"/>
    <col min="16" max="16" width="10.85546875" style="388" bestFit="1" customWidth="1"/>
    <col min="17" max="17" width="9.140625" style="283"/>
    <col min="18" max="18" width="9.5703125" style="283" bestFit="1" customWidth="1"/>
    <col min="19" max="16384" width="9.140625" style="283"/>
  </cols>
  <sheetData>
    <row r="1" spans="1:18" s="270" customFormat="1" ht="27.75">
      <c r="A1" s="465"/>
      <c r="B1" s="466"/>
      <c r="C1" s="467"/>
      <c r="D1" s="468" t="s">
        <v>399</v>
      </c>
      <c r="E1" s="469"/>
      <c r="F1" s="470"/>
      <c r="G1" s="471"/>
      <c r="H1" s="472"/>
      <c r="I1" s="473"/>
      <c r="J1" s="474"/>
      <c r="K1" s="475"/>
      <c r="L1" s="476"/>
      <c r="M1" s="477"/>
      <c r="N1" s="478"/>
      <c r="O1" s="479"/>
      <c r="P1" s="2146"/>
      <c r="R1" s="480"/>
    </row>
    <row r="2" spans="1:18" s="270" customFormat="1" ht="21.75" customHeight="1">
      <c r="A2" s="465"/>
      <c r="B2" s="466"/>
      <c r="C2" s="472"/>
      <c r="D2" s="2712" t="s">
        <v>400</v>
      </c>
      <c r="E2" s="2712"/>
      <c r="F2" s="2712"/>
      <c r="G2" s="481" t="s">
        <v>2046</v>
      </c>
      <c r="H2" s="481"/>
      <c r="I2" s="481"/>
      <c r="J2" s="482"/>
      <c r="K2" s="482"/>
      <c r="L2" s="482"/>
      <c r="M2" s="2713">
        <v>42298</v>
      </c>
      <c r="N2" s="2713"/>
      <c r="O2" s="2713"/>
      <c r="P2" s="2146"/>
      <c r="R2" s="480"/>
    </row>
    <row r="3" spans="1:18" ht="24">
      <c r="B3" s="2714" t="s">
        <v>1816</v>
      </c>
      <c r="C3" s="2714"/>
      <c r="D3" s="2714"/>
      <c r="E3" s="2714"/>
      <c r="F3" s="2714"/>
      <c r="G3" s="2714"/>
      <c r="H3" s="2714"/>
      <c r="I3" s="2714"/>
      <c r="J3" s="2714"/>
      <c r="K3" s="2714"/>
      <c r="L3" s="2714"/>
      <c r="M3" s="2714"/>
      <c r="N3" s="2714"/>
      <c r="O3" s="270"/>
    </row>
    <row r="4" spans="1:18" s="363" customFormat="1" ht="24">
      <c r="A4" s="355"/>
      <c r="B4" s="2734" t="s">
        <v>240</v>
      </c>
      <c r="C4" s="2734"/>
      <c r="D4" s="2734"/>
      <c r="E4" s="2734"/>
      <c r="F4" s="2734"/>
      <c r="G4" s="2734"/>
      <c r="H4" s="2734"/>
      <c r="I4" s="2734"/>
      <c r="J4" s="2734"/>
      <c r="K4" s="2734"/>
      <c r="L4" s="2734"/>
      <c r="M4" s="2734"/>
      <c r="N4" s="2734"/>
      <c r="O4" s="270"/>
      <c r="P4" s="388"/>
    </row>
    <row r="5" spans="1:18" s="363" customFormat="1" ht="17.25" customHeight="1">
      <c r="A5" s="283"/>
      <c r="B5" s="434"/>
      <c r="C5" s="434"/>
      <c r="D5" s="434"/>
      <c r="E5" s="434"/>
      <c r="F5" s="434"/>
      <c r="G5" s="434"/>
      <c r="H5" s="434"/>
      <c r="J5" s="364" t="str">
        <f>+'1.ต้นทุนถนน AC.'!J5</f>
        <v>วันที่ 10  พฤศจิกายน พ.ศ. 2558</v>
      </c>
      <c r="K5" s="364"/>
      <c r="L5" s="364"/>
      <c r="M5" s="364"/>
      <c r="N5" s="283"/>
      <c r="O5" s="270"/>
      <c r="P5" s="388"/>
    </row>
    <row r="6" spans="1:18" ht="17.25" customHeight="1">
      <c r="B6" s="1404" t="s">
        <v>403</v>
      </c>
      <c r="C6" s="1404"/>
      <c r="D6" s="432" t="str">
        <f>+แหล่งวัสดุ!C3</f>
        <v xml:space="preserve">บำรุงพิเศษ ซ่อมสร้างผิวทาง Asphaltic Concrete </v>
      </c>
      <c r="E6" s="432"/>
      <c r="F6" s="432"/>
      <c r="G6" s="432"/>
      <c r="H6" s="432"/>
      <c r="I6" s="432"/>
      <c r="J6" s="432"/>
      <c r="K6" s="432"/>
      <c r="L6" s="432"/>
      <c r="O6" s="270"/>
    </row>
    <row r="7" spans="1:18" ht="17.25" customHeight="1">
      <c r="B7" s="1404" t="s">
        <v>379</v>
      </c>
      <c r="C7" s="1404"/>
      <c r="D7" s="432" t="str">
        <f>+แหล่งวัสดุ!C4</f>
        <v>แขวงทางหลวงชนบทสงขลา</v>
      </c>
      <c r="E7" s="432"/>
      <c r="F7" s="434"/>
      <c r="G7" s="434"/>
      <c r="H7" s="434"/>
      <c r="K7" s="1404" t="s">
        <v>375</v>
      </c>
      <c r="M7" s="1405">
        <f>+แหล่งวัสดุ!L4</f>
        <v>2559</v>
      </c>
    </row>
    <row r="8" spans="1:18" ht="17.25" customHeight="1">
      <c r="B8" s="1404" t="str">
        <f>+"สายทาง       "</f>
        <v xml:space="preserve">สายทาง       </v>
      </c>
      <c r="C8" s="1404"/>
      <c r="D8" s="433" t="str">
        <f>+แหล่งวัสดุ!C5</f>
        <v>ปน.4031</v>
      </c>
      <c r="E8" s="2735" t="s">
        <v>362</v>
      </c>
      <c r="F8" s="2735"/>
      <c r="G8" s="432" t="str">
        <f>+แหล่งวัสดุ!F5</f>
        <v>แยกทางหลวงหมายเลข 4157-บ้านปาตา</v>
      </c>
      <c r="H8" s="432"/>
      <c r="I8" s="432"/>
      <c r="J8" s="432"/>
      <c r="K8" s="434"/>
      <c r="L8" s="434"/>
      <c r="M8" s="1406"/>
      <c r="N8" s="1407"/>
    </row>
    <row r="9" spans="1:18" ht="17.25" customHeight="1">
      <c r="A9" s="1408"/>
      <c r="B9" s="1409" t="s">
        <v>45</v>
      </c>
      <c r="C9" s="1043" t="str">
        <f>+แหล่งวัสดุ!C6</f>
        <v>อำเภอ  ปะนาเระ,ยะหริ่ง จังหวัด ปัตตานี</v>
      </c>
      <c r="D9" s="1410"/>
      <c r="E9" s="1410"/>
      <c r="F9" s="1408"/>
      <c r="G9" s="1408"/>
      <c r="H9" s="1411" t="s">
        <v>1287</v>
      </c>
      <c r="I9" s="1047">
        <f>+แหล่งวัสดุ!H6</f>
        <v>12.965999999999999</v>
      </c>
      <c r="J9" s="1412" t="s">
        <v>635</v>
      </c>
      <c r="K9" s="1412"/>
      <c r="L9" s="1412"/>
      <c r="M9" s="1413">
        <f>+แหล่งวัสดุ!L6</f>
        <v>1.5229999999999999</v>
      </c>
      <c r="N9" s="1414" t="s">
        <v>40</v>
      </c>
    </row>
    <row r="10" spans="1:18" ht="17.25" customHeight="1">
      <c r="B10" s="1415"/>
      <c r="C10" s="1415"/>
      <c r="H10" s="1416" t="s">
        <v>128</v>
      </c>
      <c r="J10" s="437"/>
    </row>
    <row r="11" spans="1:18" ht="17.25" customHeight="1">
      <c r="A11" s="283">
        <v>7</v>
      </c>
      <c r="B11" s="432" t="str">
        <f>+แหล่งวัสดุ!B25</f>
        <v>อ.มะนัง จ.สตูล</v>
      </c>
      <c r="C11" s="1419"/>
      <c r="D11" s="1420"/>
      <c r="E11" s="434"/>
      <c r="F11" s="283" t="s">
        <v>172</v>
      </c>
      <c r="H11" s="1421">
        <f>+แหล่งวัสดุ!F25</f>
        <v>25</v>
      </c>
      <c r="I11" s="436" t="s">
        <v>3</v>
      </c>
      <c r="J11" s="283" t="s">
        <v>6</v>
      </c>
      <c r="K11" s="432">
        <f>+แหล่งวัสดุ!H25</f>
        <v>6</v>
      </c>
      <c r="L11" s="437" t="s">
        <v>5</v>
      </c>
      <c r="M11" s="2355">
        <f>IF(แหล่งวัสดุ!$L$32=1,IF(K11&lt;=200,VLOOKUP(K11,'S2'!B$5:'S2'!F$204,3),IF(K11&gt;200,(K11-200)*'S2'!D$205+'S2'!D$204)),IF(แหล่งวัสดุ!$L$32=2,IF(K11&lt;=200,VLOOKUP(K11,'S2'!B$5:'S2'!F$204,5),IF(K11&gt;200,(K11-200)*'S2'!F$205+'S2'!F$204))))</f>
        <v>22.09</v>
      </c>
      <c r="N11" s="283" t="s">
        <v>18</v>
      </c>
    </row>
    <row r="12" spans="1:18" ht="17.25" customHeight="1">
      <c r="A12" s="283">
        <v>8</v>
      </c>
      <c r="B12" s="432" t="str">
        <f>+แหล่งวัสดุ!B26</f>
        <v>อ.มะนัง จ.สตูล</v>
      </c>
      <c r="C12" s="1419"/>
      <c r="D12" s="1420"/>
      <c r="E12" s="434"/>
      <c r="F12" s="283" t="s">
        <v>7</v>
      </c>
      <c r="H12" s="1421">
        <f>+แหล่งวัสดุ!F26</f>
        <v>35</v>
      </c>
      <c r="I12" s="436" t="s">
        <v>3</v>
      </c>
      <c r="J12" s="283" t="s">
        <v>6</v>
      </c>
      <c r="K12" s="432">
        <f>+แหล่งวัสดุ!H26</f>
        <v>19</v>
      </c>
      <c r="L12" s="437" t="s">
        <v>5</v>
      </c>
      <c r="M12" s="2355">
        <f>IF(แหล่งวัสดุ!$L$32=1,IF(K12&lt;=200,VLOOKUP(K12,'S2'!B$5:'S2'!F$204,3),IF(K12&gt;200,(K12-200)*'S2'!D$205+'S2'!D$204)),IF(แหล่งวัสดุ!$L$32=2,IF(K12&lt;=200,VLOOKUP(K12,'S2'!B$5:'S2'!F$204,5),IF(K12&gt;200,(K12-200)*'S2'!F$205+'S2'!F$204))))</f>
        <v>61.32</v>
      </c>
      <c r="N12" s="283" t="s">
        <v>18</v>
      </c>
    </row>
    <row r="13" spans="1:18" ht="17.25" customHeight="1">
      <c r="A13" s="283">
        <v>9</v>
      </c>
      <c r="B13" s="432" t="str">
        <f>+แหล่งวัสดุ!B28</f>
        <v>อ.มะนัง จ.สตูล</v>
      </c>
      <c r="C13" s="1417"/>
      <c r="D13" s="1418"/>
      <c r="E13" s="434"/>
      <c r="F13" s="283" t="str">
        <f>+แหล่งวัสดุ!E28</f>
        <v>ทรายหยาบ</v>
      </c>
      <c r="H13" s="1421">
        <f>+แหล่งวัสดุ!F28</f>
        <v>485</v>
      </c>
      <c r="I13" s="436" t="s">
        <v>3</v>
      </c>
      <c r="J13" s="283" t="s">
        <v>6</v>
      </c>
      <c r="K13" s="432">
        <f>+แหล่งวัสดุ!H28</f>
        <v>73</v>
      </c>
      <c r="L13" s="437" t="s">
        <v>5</v>
      </c>
      <c r="M13" s="2355">
        <f>IF(แหล่งวัสดุ!$L$32=1,IF(K13&lt;=200,VLOOKUP(K13,'S2'!B$5:'S2'!F$204,3),IF(K13&gt;200,(K13-200)*'S2'!D$205+'S2'!D$204)),IF(แหล่งวัสดุ!$L$32=2,IF(K13&lt;=200,VLOOKUP(K13,'S2'!B$5:'S2'!F$204,5),IF(K13&gt;200,(K13-200)*'S2'!F$205+'S2'!F$204))))</f>
        <v>230.62</v>
      </c>
      <c r="N13" s="283" t="s">
        <v>18</v>
      </c>
    </row>
    <row r="14" spans="1:18" ht="17.25" customHeight="1">
      <c r="A14" s="283">
        <v>10</v>
      </c>
      <c r="B14" s="432" t="str">
        <f>+แหล่งวัสดุ!B23</f>
        <v>ต.คลองเปียะ อ.จะนะ จ.สงขลา</v>
      </c>
      <c r="C14" s="1417"/>
      <c r="D14" s="1418"/>
      <c r="E14" s="434"/>
      <c r="F14" s="283" t="str">
        <f>+แหล่งวัสดุ!E23</f>
        <v>หินผสมคอนกรีต</v>
      </c>
      <c r="H14" s="1421">
        <f>+แหล่งวัสดุ!F23</f>
        <v>400</v>
      </c>
      <c r="I14" s="436" t="s">
        <v>3</v>
      </c>
      <c r="J14" s="283" t="s">
        <v>6</v>
      </c>
      <c r="K14" s="432">
        <f>+แหล่งวัสดุ!H23</f>
        <v>40</v>
      </c>
      <c r="L14" s="437" t="s">
        <v>5</v>
      </c>
      <c r="M14" s="2355">
        <f>IF(แหล่งวัสดุ!$L$32=1,IF(K14&lt;=200,VLOOKUP(K14,'S2'!B$5:'S2'!F$204,3),IF(K14&gt;200,(K14-200)*'S2'!D$205+'S2'!D$204)),IF(แหล่งวัสดุ!$L$32=2,IF(K14&lt;=200,VLOOKUP(K14,'S2'!B$5:'S2'!F$204,5),IF(K14&gt;200,(K14-200)*'S2'!F$205+'S2'!F$204))))</f>
        <v>127.15</v>
      </c>
      <c r="N14" s="283" t="s">
        <v>18</v>
      </c>
    </row>
    <row r="15" spans="1:18" ht="17.25" customHeight="1">
      <c r="A15" s="283">
        <v>11</v>
      </c>
      <c r="B15" s="432" t="str">
        <f>+แหล่งวัสดุ!B31</f>
        <v>สำนักดัชนีการค้า ปัตตานี (ตุลาคม 58)</v>
      </c>
      <c r="C15" s="1417"/>
      <c r="D15" s="1418"/>
      <c r="E15" s="434"/>
      <c r="F15" s="1422" t="str">
        <f>+แหล่งวัสดุ!E31</f>
        <v>คอนกรีตผสมเสร็จ 320 ksc</v>
      </c>
      <c r="H15" s="1421">
        <f>+แหล่งวัสดุ!F31</f>
        <v>0</v>
      </c>
      <c r="I15" s="436" t="s">
        <v>3</v>
      </c>
      <c r="J15" s="283" t="s">
        <v>6</v>
      </c>
      <c r="K15" s="1451">
        <f>+แหล่งวัสดุ!H31</f>
        <v>65</v>
      </c>
      <c r="L15" s="437" t="s">
        <v>5</v>
      </c>
      <c r="M15" s="2355">
        <f>IF(แหล่งวัสดุ!$L$31=1,IF(K15&lt;=200,VLOOKUP(K15,'S2'!B$5:'S2'!F$204,3),IF(K15&gt;200,(K15-200)*'S2'!D$205+'S2'!D$204)),IF(แหล่งวัสดุ!$L$31=2,IF(K15&lt;=200,VLOOKUP(K15,'S2'!B$5:'S2'!F$204,5),IF(K15&gt;200,(K15-200)*'S2'!F$205+'S2'!F$204))))</f>
        <v>205.51</v>
      </c>
      <c r="N15" s="283" t="s">
        <v>18</v>
      </c>
    </row>
    <row r="16" spans="1:18" ht="18.95" customHeight="1">
      <c r="A16" s="283">
        <v>12</v>
      </c>
      <c r="B16" s="432" t="str">
        <f>+B15</f>
        <v>สำนักดัชนีการค้า ปัตตานี (ตุลาคม 58)</v>
      </c>
      <c r="C16" s="434"/>
      <c r="F16" s="434" t="s">
        <v>1730</v>
      </c>
      <c r="H16" s="439">
        <f>+แหล่งวัสดุ!F39</f>
        <v>19898.169999999998</v>
      </c>
      <c r="I16" s="436" t="s">
        <v>8</v>
      </c>
      <c r="J16" s="437" t="s">
        <v>4</v>
      </c>
      <c r="K16" s="1423">
        <f>+แหล่งวัสดุ!H39</f>
        <v>65</v>
      </c>
      <c r="L16" s="437" t="s">
        <v>5</v>
      </c>
      <c r="M16" s="2356">
        <f>IF(แหล่งวัสดุ!L$34=1,IF(K16&lt;=200,VLOOKUP(K16,'S2'!B$5:'S2'!F$204,2),IF(K16&gt;200,(K16-200)*'S2'!C$205+'S2'!C$204)),IF(แหล่งวัสดุ!L$34=2,IF(K16&lt;=200,VLOOKUP(K16,'S2'!B$5:'S2'!F$204,4),IF(K16&gt;200,(K16-200)*'S2'!E$205+'S2'!E$204))))</f>
        <v>146.79</v>
      </c>
      <c r="N16" s="283" t="s">
        <v>9</v>
      </c>
    </row>
    <row r="17" spans="1:33" ht="18.95" customHeight="1">
      <c r="A17" s="283">
        <v>13</v>
      </c>
      <c r="B17" s="432" t="str">
        <f>+B16</f>
        <v>สำนักดัชนีการค้า ปัตตานี (ตุลาคม 58)</v>
      </c>
      <c r="C17" s="434"/>
      <c r="F17" s="434" t="s">
        <v>1731</v>
      </c>
      <c r="H17" s="439">
        <f>+แหล่งวัสดุ!F40</f>
        <v>19220.78</v>
      </c>
      <c r="I17" s="436" t="s">
        <v>8</v>
      </c>
      <c r="J17" s="437" t="s">
        <v>4</v>
      </c>
      <c r="K17" s="1423">
        <f>+แหล่งวัสดุ!H40</f>
        <v>65</v>
      </c>
      <c r="L17" s="437" t="s">
        <v>5</v>
      </c>
      <c r="M17" s="2356">
        <f>IF(แหล่งวัสดุ!L$34=1,IF(K17&lt;=200,VLOOKUP(K17,'S2'!B$5:'S2'!F$204,2),IF(K17&gt;200,(K17-200)*'S2'!C$205+'S2'!C$204)),IF(แหล่งวัสดุ!L$34=2,IF(K17&lt;=200,VLOOKUP(K17,'S2'!B$5:'S2'!F$204,4),IF(K17&gt;200,(K17-200)*'S2'!E$205+'S2'!E$204))))</f>
        <v>146.79</v>
      </c>
      <c r="N17" s="283" t="s">
        <v>9</v>
      </c>
    </row>
    <row r="18" spans="1:33" ht="18.95" customHeight="1">
      <c r="A18" s="283">
        <v>14</v>
      </c>
      <c r="B18" s="432" t="str">
        <f>+B17</f>
        <v>สำนักดัชนีการค้า ปัตตานี (ตุลาคม 58)</v>
      </c>
      <c r="C18" s="434"/>
      <c r="F18" s="434" t="s">
        <v>1732</v>
      </c>
      <c r="H18" s="439">
        <f>+แหล่งวัสดุ!F44</f>
        <v>19042.060000000001</v>
      </c>
      <c r="I18" s="436" t="s">
        <v>8</v>
      </c>
      <c r="J18" s="437" t="s">
        <v>4</v>
      </c>
      <c r="K18" s="1423">
        <f>+แหล่งวัสดุ!H44</f>
        <v>65</v>
      </c>
      <c r="L18" s="437" t="s">
        <v>5</v>
      </c>
      <c r="M18" s="2356">
        <f>IF(แหล่งวัสดุ!L$34=1,IF(K18&lt;=200,VLOOKUP(K18,'S2'!B$5:'S2'!F$204,2),IF(K18&gt;200,(K18-200)*'S2'!C$205+'S2'!C$204)),IF(แหล่งวัสดุ!L$34=2,IF(K18&lt;=200,VLOOKUP(K18,'S2'!B$5:'S2'!F$204,4),IF(K18&gt;200,(K18-200)*'S2'!E$205+'S2'!E$204))))</f>
        <v>146.79</v>
      </c>
      <c r="N18" s="283" t="s">
        <v>9</v>
      </c>
    </row>
    <row r="19" spans="1:33" ht="18.95" customHeight="1">
      <c r="A19" s="283">
        <v>15</v>
      </c>
      <c r="B19" s="432" t="str">
        <f>+B18</f>
        <v>สำนักดัชนีการค้า ปัตตานี (ตุลาคม 58)</v>
      </c>
      <c r="C19" s="434"/>
      <c r="F19" s="434" t="s">
        <v>1733</v>
      </c>
      <c r="H19" s="439">
        <f>+แหล่งวัสดุ!F43</f>
        <v>0</v>
      </c>
      <c r="I19" s="436" t="s">
        <v>8</v>
      </c>
      <c r="J19" s="437" t="s">
        <v>4</v>
      </c>
      <c r="K19" s="1424">
        <f>+แหล่งวัสดุ!H43</f>
        <v>65</v>
      </c>
      <c r="L19" s="437" t="s">
        <v>5</v>
      </c>
      <c r="M19" s="2356">
        <f>IF(แหล่งวัสดุ!L$34=1,IF(K19&lt;=200,VLOOKUP(K19,'S2'!B$5:'S2'!F$204,2),IF(K19&gt;200,(K19-200)*'S2'!C$205+'S2'!C$204)),IF(แหล่งวัสดุ!L$34=2,IF(K19&lt;=200,VLOOKUP(K19,'S2'!B$5:'S2'!F$204,4),IF(K19&gt;200,(K19-200)*'S2'!E$205+'S2'!E$204))))</f>
        <v>146.79</v>
      </c>
      <c r="N19" s="283" t="s">
        <v>9</v>
      </c>
    </row>
    <row r="20" spans="1:33" ht="18.95" customHeight="1">
      <c r="A20" s="283">
        <v>16</v>
      </c>
      <c r="B20" s="432" t="str">
        <f>+แหล่งวัสดุ!B51</f>
        <v>สำนักดัชนีการค้า สตูล(กันยายน 58)</v>
      </c>
      <c r="C20" s="434"/>
      <c r="E20" s="434"/>
      <c r="F20" s="283" t="str">
        <f>+แหล่งวัสดุ!E51</f>
        <v>เหล็ก Wire mash</v>
      </c>
      <c r="H20" s="439">
        <f>+แหล่งวัสดุ!F51</f>
        <v>53</v>
      </c>
      <c r="I20" s="436" t="s">
        <v>114</v>
      </c>
      <c r="J20" s="437" t="s">
        <v>4</v>
      </c>
      <c r="K20" s="1424">
        <f>+แหล่งวัสดุ!H51</f>
        <v>65</v>
      </c>
      <c r="L20" s="437" t="s">
        <v>5</v>
      </c>
      <c r="M20" s="2356">
        <f>IF(แหล่งวัสดุ!L$34=1,IF(K20&lt;=200,VLOOKUP(K20,'S2'!B$5:'S2'!F$204,2),IF(K20&gt;200,(K20-200)*'S2'!C$205+'S2'!C$204)),IF(แหล่งวัสดุ!L$34=2,IF(K20&lt;=200,VLOOKUP(K20,'S2'!B$5:'S2'!F$204,4),IF(K20&gt;200,(K20-200)*'S2'!E$205+'S2'!E$204))))</f>
        <v>146.79</v>
      </c>
      <c r="N20" s="283" t="s">
        <v>9</v>
      </c>
    </row>
    <row r="21" spans="1:33" ht="17.25" customHeight="1">
      <c r="A21" s="283">
        <v>17</v>
      </c>
      <c r="B21" s="434" t="str">
        <f>+แหล่งวัสดุ!B30</f>
        <v>สำนักดัชนีการค้า ปัตตานี (ตุลาคม 58)</v>
      </c>
      <c r="C21" s="432"/>
      <c r="D21" s="434"/>
      <c r="E21" s="434"/>
      <c r="F21" s="283" t="s">
        <v>583</v>
      </c>
      <c r="H21" s="1425">
        <f>+แหล่งวัสดุ!F30</f>
        <v>3003.11</v>
      </c>
      <c r="I21" s="436" t="s">
        <v>8</v>
      </c>
      <c r="J21" s="283" t="s">
        <v>12</v>
      </c>
      <c r="K21" s="432">
        <f>+แหล่งวัสดุ!H30</f>
        <v>65</v>
      </c>
      <c r="L21" s="437" t="s">
        <v>5</v>
      </c>
      <c r="M21" s="2356">
        <f>IF(แหล่งวัสดุ!L$30=1,IF(K21&lt;=200,VLOOKUP(K21,'S2'!B$5:'S2'!F$204,2),IF(K21&gt;200,(K21-200)*'S2'!C$205+'S2'!C$204)),IF(แหล่งวัสดุ!L$30=2,IF(K21&lt;=200,VLOOKUP(K21,'S2'!B$5:'S2'!F$204,4),IF(K21&gt;200,(K21-200)*'S2'!E$205+'S2'!E$204))))</f>
        <v>90.01</v>
      </c>
      <c r="N21" s="283" t="s">
        <v>9</v>
      </c>
    </row>
    <row r="22" spans="1:33" ht="17.25" customHeight="1">
      <c r="H22" s="1426" t="s">
        <v>13</v>
      </c>
      <c r="I22" s="1415"/>
    </row>
    <row r="23" spans="1:33" s="271" customFormat="1" ht="18.95" customHeight="1">
      <c r="A23" s="1969"/>
      <c r="B23" s="2011" t="s">
        <v>1936</v>
      </c>
      <c r="C23" s="1969"/>
      <c r="D23" s="1969"/>
      <c r="E23" s="1969"/>
      <c r="F23" s="1969"/>
      <c r="G23" s="1969"/>
      <c r="H23" s="1969"/>
      <c r="I23" s="1969"/>
      <c r="J23" s="1969"/>
      <c r="K23" s="1969"/>
      <c r="L23" s="1969"/>
      <c r="M23" s="1969"/>
      <c r="N23" s="1969"/>
      <c r="O23" s="1969"/>
      <c r="P23" s="2147"/>
      <c r="R23" s="485"/>
      <c r="AG23" s="268"/>
    </row>
    <row r="24" spans="1:33" s="803" customFormat="1" ht="18.95" customHeight="1">
      <c r="A24" s="2009"/>
      <c r="B24" s="2012" t="s">
        <v>1933</v>
      </c>
      <c r="D24" s="750">
        <f>+แหล่งวัสดุ!$U$61</f>
        <v>1</v>
      </c>
      <c r="E24" s="750"/>
      <c r="F24" s="750" t="str">
        <f>+"ทราย = "&amp;แหล่งวัสดุ!$N$77</f>
        <v>ทราย = 1</v>
      </c>
      <c r="H24" s="2010" t="str">
        <f>+"เหล็ก = "&amp;แหล่งวัสดุ!$U$69</f>
        <v>เหล็ก = 1</v>
      </c>
      <c r="J24" s="440" t="str">
        <f>+"หิน = "&amp;แหล่งวัสดุ!$N$53</f>
        <v>หิน = 1</v>
      </c>
      <c r="K24" s="750" t="str">
        <f>+"ท่อ ="&amp;แหล่งวัสดุ!$U$77</f>
        <v>ท่อ =1</v>
      </c>
      <c r="L24" s="750"/>
      <c r="M24" s="750"/>
      <c r="N24" s="750"/>
      <c r="O24" s="750"/>
      <c r="P24" s="2148"/>
      <c r="R24" s="2008"/>
      <c r="AG24" s="461"/>
    </row>
    <row r="25" spans="1:33" ht="16.5" customHeight="1">
      <c r="A25" s="283">
        <v>1</v>
      </c>
      <c r="B25" s="1429" t="s">
        <v>1707</v>
      </c>
      <c r="D25" s="1428"/>
      <c r="L25" s="437"/>
      <c r="M25" s="1427"/>
      <c r="O25" s="270"/>
    </row>
    <row r="26" spans="1:33" ht="18" customHeight="1">
      <c r="B26" s="454" t="s">
        <v>288</v>
      </c>
      <c r="F26" s="446" t="s">
        <v>22</v>
      </c>
      <c r="G26" s="456">
        <v>0.36699999999999999</v>
      </c>
      <c r="H26" s="448" t="s">
        <v>289</v>
      </c>
      <c r="J26" s="449">
        <f>+$H$21+$M$21*$D$24</f>
        <v>3093.1200000000003</v>
      </c>
      <c r="K26" s="283" t="s">
        <v>43</v>
      </c>
      <c r="L26" s="448" t="s">
        <v>14</v>
      </c>
      <c r="M26" s="2353">
        <f>J26*G26</f>
        <v>1135.1750400000001</v>
      </c>
      <c r="N26" s="438" t="s">
        <v>43</v>
      </c>
    </row>
    <row r="27" spans="1:33" ht="18" customHeight="1">
      <c r="B27" s="454" t="s">
        <v>290</v>
      </c>
      <c r="F27" s="446" t="s">
        <v>22</v>
      </c>
      <c r="G27" s="456">
        <v>0.66</v>
      </c>
      <c r="H27" s="448" t="s">
        <v>262</v>
      </c>
      <c r="J27" s="449">
        <f>+$H$13+$M$13*แหล่งวัสดุ!$N$77</f>
        <v>715.62</v>
      </c>
      <c r="K27" s="283" t="s">
        <v>43</v>
      </c>
      <c r="L27" s="448" t="s">
        <v>14</v>
      </c>
      <c r="M27" s="2353">
        <f>J27*G27</f>
        <v>472.30920000000003</v>
      </c>
      <c r="N27" s="438" t="s">
        <v>43</v>
      </c>
    </row>
    <row r="28" spans="1:33" ht="18" customHeight="1">
      <c r="B28" s="454" t="s">
        <v>1708</v>
      </c>
      <c r="F28" s="446" t="s">
        <v>22</v>
      </c>
      <c r="G28" s="456">
        <v>0.96</v>
      </c>
      <c r="H28" s="448" t="s">
        <v>262</v>
      </c>
      <c r="J28" s="449">
        <f>+$H$14+$M$14</f>
        <v>527.15</v>
      </c>
      <c r="K28" s="283" t="s">
        <v>43</v>
      </c>
      <c r="L28" s="448" t="s">
        <v>14</v>
      </c>
      <c r="M28" s="2353">
        <f>J28*G28</f>
        <v>506.06399999999996</v>
      </c>
      <c r="N28" s="438" t="s">
        <v>43</v>
      </c>
    </row>
    <row r="29" spans="1:33" ht="18" customHeight="1">
      <c r="B29" s="2736" t="s">
        <v>292</v>
      </c>
      <c r="C29" s="2736"/>
      <c r="D29" s="2736"/>
      <c r="E29" s="2736"/>
      <c r="F29" s="446"/>
      <c r="G29" s="456"/>
      <c r="H29" s="448"/>
      <c r="I29" s="449"/>
      <c r="L29" s="448" t="s">
        <v>14</v>
      </c>
      <c r="M29" s="2353">
        <f>SUM(M26:M28)</f>
        <v>2113.5482400000001</v>
      </c>
      <c r="N29" s="438" t="s">
        <v>43</v>
      </c>
    </row>
    <row r="30" spans="1:33" ht="18" customHeight="1" thickBot="1">
      <c r="B30" s="450"/>
      <c r="C30" s="438"/>
      <c r="D30" s="1430" t="s">
        <v>1709</v>
      </c>
      <c r="H30" s="515"/>
      <c r="L30" s="448" t="s">
        <v>14</v>
      </c>
      <c r="M30" s="1431">
        <f>ROUNDDOWN(M29,2)</f>
        <v>2113.54</v>
      </c>
      <c r="N30" s="438" t="s">
        <v>3</v>
      </c>
    </row>
    <row r="31" spans="1:33" ht="18" customHeight="1" thickTop="1" thickBot="1">
      <c r="B31" s="1432" t="str">
        <f>+F15</f>
        <v>คอนกรีตผสมเสร็จ 320 ksc</v>
      </c>
      <c r="C31" s="438"/>
      <c r="D31" s="1430"/>
      <c r="H31" s="515"/>
      <c r="L31" s="448" t="s">
        <v>14</v>
      </c>
      <c r="M31" s="1431">
        <f>+H15+M15*แหล่งวัสดุ!U61</f>
        <v>205.51</v>
      </c>
      <c r="N31" s="438" t="s">
        <v>3</v>
      </c>
    </row>
    <row r="32" spans="1:33" s="429" customFormat="1" ht="18" customHeight="1" thickTop="1">
      <c r="A32" s="444">
        <v>2</v>
      </c>
      <c r="B32" s="1429" t="s">
        <v>1710</v>
      </c>
      <c r="C32" s="438"/>
      <c r="D32" s="446"/>
      <c r="E32" s="438"/>
      <c r="F32" s="445"/>
      <c r="G32" s="445"/>
      <c r="H32" s="445"/>
      <c r="I32" s="446"/>
      <c r="J32" s="452"/>
      <c r="M32" s="438"/>
      <c r="N32" s="268"/>
      <c r="O32" s="268"/>
      <c r="P32" s="1288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</row>
    <row r="33" spans="1:116" s="429" customFormat="1" ht="18" customHeight="1">
      <c r="A33" s="444"/>
      <c r="B33" s="438" t="s">
        <v>478</v>
      </c>
      <c r="D33" s="448">
        <v>1</v>
      </c>
      <c r="E33" s="438" t="s">
        <v>479</v>
      </c>
      <c r="G33" s="457">
        <f>+แหล่งวัสดุ!F52</f>
        <v>532.88</v>
      </c>
      <c r="H33" s="438" t="s">
        <v>1711</v>
      </c>
      <c r="L33" s="448" t="s">
        <v>14</v>
      </c>
      <c r="M33" s="2354">
        <f>ROUND(G33/4,2)</f>
        <v>133.22</v>
      </c>
      <c r="N33" s="438" t="s">
        <v>43</v>
      </c>
      <c r="P33" s="128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</row>
    <row r="34" spans="1:116" s="429" customFormat="1" ht="18.95" customHeight="1">
      <c r="A34" s="444"/>
      <c r="B34" s="438" t="s">
        <v>480</v>
      </c>
      <c r="D34" s="2347">
        <v>1</v>
      </c>
      <c r="E34" s="438" t="s">
        <v>481</v>
      </c>
      <c r="G34" s="458">
        <f>+แหล่งวัสดุ!F53</f>
        <v>630</v>
      </c>
      <c r="H34" s="438" t="s">
        <v>1711</v>
      </c>
      <c r="I34" s="445"/>
      <c r="J34" s="445"/>
      <c r="L34" s="2347" t="s">
        <v>14</v>
      </c>
      <c r="M34" s="2354">
        <f>ROUND(G34/4,2)</f>
        <v>157.5</v>
      </c>
      <c r="N34" s="438" t="s">
        <v>43</v>
      </c>
      <c r="P34" s="268"/>
      <c r="Q34" s="268"/>
      <c r="R34" s="2345"/>
      <c r="S34" s="268"/>
      <c r="T34" s="268"/>
      <c r="U34" s="268"/>
      <c r="V34" s="268"/>
      <c r="W34" s="268"/>
      <c r="X34" s="268"/>
      <c r="Y34" s="268"/>
      <c r="Z34" s="268"/>
      <c r="AA34" s="268"/>
      <c r="AC34" s="268"/>
      <c r="AD34" s="268"/>
      <c r="AE34" s="268"/>
      <c r="AF34" s="268"/>
      <c r="AG34" s="268"/>
      <c r="AH34" s="268"/>
      <c r="AI34" s="268"/>
      <c r="AJ34" s="268"/>
      <c r="AK34" s="268"/>
      <c r="AL34" s="268"/>
      <c r="AM34" s="268"/>
      <c r="AN34" s="268"/>
      <c r="AO34" s="268"/>
      <c r="AP34" s="268"/>
      <c r="AQ34" s="268"/>
      <c r="AR34" s="268"/>
      <c r="AS34" s="268"/>
      <c r="AT34" s="268"/>
      <c r="AU34" s="268"/>
      <c r="AV34" s="268"/>
      <c r="AW34" s="268"/>
      <c r="AX34" s="268"/>
      <c r="AY34" s="268"/>
      <c r="AZ34" s="268"/>
      <c r="BA34" s="268"/>
      <c r="BB34" s="268"/>
      <c r="BC34" s="268"/>
      <c r="BD34" s="268"/>
      <c r="BE34" s="268"/>
      <c r="BF34" s="268"/>
      <c r="BG34" s="268"/>
      <c r="BH34" s="268"/>
      <c r="BI34" s="268"/>
      <c r="BJ34" s="268"/>
      <c r="BK34" s="268"/>
      <c r="BL34" s="268"/>
      <c r="BM34" s="268"/>
      <c r="BN34" s="268"/>
      <c r="BO34" s="268"/>
      <c r="BP34" s="268"/>
      <c r="BQ34" s="268"/>
      <c r="BR34" s="268"/>
      <c r="BS34" s="268"/>
      <c r="BT34" s="268"/>
      <c r="BU34" s="268"/>
      <c r="BV34" s="268"/>
      <c r="BW34" s="268"/>
      <c r="BX34" s="268"/>
      <c r="BY34" s="268"/>
      <c r="BZ34" s="268"/>
      <c r="CA34" s="268"/>
      <c r="CB34" s="268"/>
      <c r="CC34" s="268"/>
      <c r="CD34" s="268"/>
      <c r="CE34" s="268"/>
      <c r="CF34" s="268"/>
      <c r="CG34" s="268"/>
      <c r="CH34" s="268"/>
      <c r="CI34" s="268"/>
      <c r="CJ34" s="268"/>
      <c r="CK34" s="268"/>
      <c r="CL34" s="268"/>
      <c r="CM34" s="268"/>
      <c r="CN34" s="268"/>
      <c r="CO34" s="268"/>
      <c r="CP34" s="268"/>
      <c r="CQ34" s="268"/>
      <c r="CR34" s="268"/>
      <c r="CS34" s="268"/>
      <c r="CT34" s="268"/>
      <c r="CU34" s="268"/>
      <c r="CV34" s="268"/>
      <c r="CW34" s="268"/>
      <c r="CX34" s="268"/>
      <c r="CY34" s="268"/>
      <c r="CZ34" s="268"/>
      <c r="DA34" s="268"/>
      <c r="DB34" s="268"/>
      <c r="DC34" s="268"/>
      <c r="DD34" s="268"/>
      <c r="DE34" s="268"/>
      <c r="DF34" s="268"/>
      <c r="DG34" s="268"/>
      <c r="DH34" s="268"/>
      <c r="DI34" s="268"/>
      <c r="DJ34" s="268"/>
      <c r="DK34" s="268"/>
      <c r="DL34" s="268"/>
    </row>
    <row r="35" spans="1:116" s="429" customFormat="1" ht="18" customHeight="1">
      <c r="A35" s="444"/>
      <c r="B35" s="438" t="s">
        <v>482</v>
      </c>
      <c r="D35" s="459">
        <v>0.3</v>
      </c>
      <c r="E35" s="438" t="s">
        <v>479</v>
      </c>
      <c r="G35" s="458">
        <f>+แหล่งวัสดุ!F54</f>
        <v>409.91</v>
      </c>
      <c r="H35" s="438" t="s">
        <v>1711</v>
      </c>
      <c r="L35" s="448" t="s">
        <v>14</v>
      </c>
      <c r="M35" s="2354">
        <f>ROUND(G35*D35/4,2)</f>
        <v>30.74</v>
      </c>
      <c r="N35" s="438" t="s">
        <v>31</v>
      </c>
      <c r="P35" s="128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</row>
    <row r="36" spans="1:116" s="429" customFormat="1" ht="18" customHeight="1">
      <c r="A36" s="444"/>
      <c r="B36" s="438" t="s">
        <v>483</v>
      </c>
      <c r="D36" s="459">
        <v>0.25</v>
      </c>
      <c r="E36" s="438" t="s">
        <v>484</v>
      </c>
      <c r="G36" s="460">
        <f>+แหล่งวัสดุ!F59</f>
        <v>39.49</v>
      </c>
      <c r="H36" s="445" t="s">
        <v>43</v>
      </c>
      <c r="L36" s="448" t="s">
        <v>14</v>
      </c>
      <c r="M36" s="2354">
        <f>D36*G36</f>
        <v>9.8725000000000005</v>
      </c>
      <c r="N36" s="438" t="s">
        <v>31</v>
      </c>
      <c r="P36" s="128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</row>
    <row r="37" spans="1:116" s="429" customFormat="1" ht="18" customHeight="1">
      <c r="A37" s="444"/>
      <c r="B37" s="438" t="s">
        <v>485</v>
      </c>
      <c r="D37" s="459">
        <v>1</v>
      </c>
      <c r="E37" s="438" t="s">
        <v>481</v>
      </c>
      <c r="G37" s="1433">
        <v>20</v>
      </c>
      <c r="H37" s="445" t="s">
        <v>43</v>
      </c>
      <c r="L37" s="448" t="s">
        <v>14</v>
      </c>
      <c r="M37" s="2354">
        <f>D37*G37</f>
        <v>20</v>
      </c>
      <c r="N37" s="438" t="s">
        <v>43</v>
      </c>
      <c r="P37" s="128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</row>
    <row r="38" spans="1:116" s="462" customFormat="1" ht="18" customHeight="1">
      <c r="A38" s="444"/>
      <c r="B38" s="446" t="s">
        <v>486</v>
      </c>
      <c r="C38" s="438"/>
      <c r="D38" s="438"/>
      <c r="E38" s="438"/>
      <c r="F38" s="445"/>
      <c r="G38" s="445"/>
      <c r="H38" s="445"/>
      <c r="I38" s="438" t="s">
        <v>487</v>
      </c>
      <c r="L38" s="448" t="s">
        <v>14</v>
      </c>
      <c r="M38" s="2354">
        <f>SUM(M33:M37)</f>
        <v>351.33250000000004</v>
      </c>
      <c r="N38" s="438" t="s">
        <v>43</v>
      </c>
      <c r="P38" s="2149"/>
      <c r="Q38" s="461"/>
      <c r="R38" s="461"/>
      <c r="S38" s="461"/>
      <c r="T38" s="461"/>
      <c r="U38" s="461"/>
      <c r="V38" s="461"/>
      <c r="W38" s="461"/>
      <c r="X38" s="461"/>
      <c r="Y38" s="461"/>
      <c r="Z38" s="461"/>
      <c r="AA38" s="461"/>
      <c r="AB38" s="461"/>
    </row>
    <row r="39" spans="1:116" s="462" customFormat="1" ht="18" customHeight="1" thickBot="1">
      <c r="A39" s="455"/>
      <c r="C39" s="1434"/>
      <c r="D39" s="516" t="s">
        <v>547</v>
      </c>
      <c r="F39" s="269"/>
      <c r="G39" s="269"/>
      <c r="H39" s="269"/>
      <c r="I39" s="453" t="s">
        <v>487</v>
      </c>
      <c r="L39" s="463" t="s">
        <v>14</v>
      </c>
      <c r="M39" s="523">
        <f>ROUNDDOWN(M38,1)</f>
        <v>351.3</v>
      </c>
      <c r="N39" s="453" t="s">
        <v>43</v>
      </c>
      <c r="P39" s="2149"/>
      <c r="Q39" s="461"/>
      <c r="R39" s="461"/>
      <c r="S39" s="461"/>
      <c r="T39" s="461"/>
      <c r="U39" s="461"/>
      <c r="V39" s="461"/>
      <c r="W39" s="461"/>
      <c r="X39" s="461"/>
      <c r="Y39" s="461"/>
      <c r="Z39" s="461"/>
      <c r="AA39" s="461"/>
      <c r="AB39" s="461"/>
    </row>
    <row r="40" spans="1:116" ht="18" customHeight="1" thickTop="1">
      <c r="A40" s="283">
        <v>3</v>
      </c>
      <c r="B40" s="1429" t="s">
        <v>1712</v>
      </c>
      <c r="C40" s="438"/>
      <c r="D40" s="1430"/>
      <c r="H40" s="515"/>
      <c r="L40" s="446"/>
      <c r="M40" s="1435"/>
      <c r="N40" s="438"/>
    </row>
    <row r="41" spans="1:116" ht="16.5" customHeight="1">
      <c r="C41" s="1434" t="s">
        <v>1713</v>
      </c>
      <c r="D41" s="1428"/>
      <c r="E41" s="1436">
        <f>+'NO DELETE'!AZ8</f>
        <v>0.2</v>
      </c>
      <c r="F41" s="283" t="s">
        <v>182</v>
      </c>
      <c r="H41" s="1437" t="s">
        <v>1714</v>
      </c>
      <c r="I41" s="1436">
        <f>+'NO DELETE'!BE8*2</f>
        <v>6</v>
      </c>
      <c r="J41" s="1404" t="s">
        <v>1715</v>
      </c>
      <c r="L41" s="2737">
        <f>+BackupCon!G13</f>
        <v>5250</v>
      </c>
      <c r="M41" s="2737"/>
      <c r="N41" s="1404" t="s">
        <v>31</v>
      </c>
      <c r="O41" s="270"/>
    </row>
    <row r="42" spans="1:116" ht="16.5" customHeight="1">
      <c r="B42" s="1438" t="s">
        <v>2015</v>
      </c>
      <c r="D42" s="1428"/>
      <c r="E42" s="1439" t="s">
        <v>22</v>
      </c>
      <c r="F42" s="2731">
        <f>+BackupCon!H13</f>
        <v>1050</v>
      </c>
      <c r="G42" s="2731"/>
      <c r="H42" s="1438" t="s">
        <v>477</v>
      </c>
      <c r="I42" s="388">
        <f>+M30</f>
        <v>2113.54</v>
      </c>
      <c r="J42" s="283" t="s">
        <v>43</v>
      </c>
      <c r="K42" s="1440" t="s">
        <v>14</v>
      </c>
      <c r="L42" s="2738">
        <f t="shared" ref="L42:L50" si="0">I42*F42</f>
        <v>2219217</v>
      </c>
      <c r="M42" s="2738"/>
      <c r="N42" s="453" t="s">
        <v>43</v>
      </c>
      <c r="O42" s="270"/>
    </row>
    <row r="43" spans="1:116" ht="16.5" customHeight="1">
      <c r="B43" s="1438" t="s">
        <v>464</v>
      </c>
      <c r="D43" s="1428"/>
      <c r="E43" s="1439" t="s">
        <v>22</v>
      </c>
      <c r="F43" s="2731">
        <f>+BackupCon!I30</f>
        <v>350</v>
      </c>
      <c r="G43" s="2731"/>
      <c r="H43" s="1438" t="s">
        <v>266</v>
      </c>
      <c r="I43" s="388">
        <f>+M39</f>
        <v>351.3</v>
      </c>
      <c r="J43" s="283" t="s">
        <v>43</v>
      </c>
      <c r="K43" s="1440" t="s">
        <v>14</v>
      </c>
      <c r="L43" s="2732">
        <f t="shared" si="0"/>
        <v>122955</v>
      </c>
      <c r="M43" s="2732"/>
      <c r="N43" s="453" t="s">
        <v>43</v>
      </c>
      <c r="O43" s="270"/>
    </row>
    <row r="44" spans="1:116" ht="16.5" customHeight="1">
      <c r="B44" s="283" t="s">
        <v>1716</v>
      </c>
      <c r="D44" s="1428"/>
      <c r="E44" s="579" t="s">
        <v>22</v>
      </c>
      <c r="F44" s="2729">
        <f>+BackupCon!G33</f>
        <v>629.99999999999989</v>
      </c>
      <c r="G44" s="2729"/>
      <c r="H44" s="1438" t="s">
        <v>266</v>
      </c>
      <c r="I44" s="443">
        <v>3.9</v>
      </c>
      <c r="J44" s="283" t="s">
        <v>43</v>
      </c>
      <c r="K44" s="446" t="s">
        <v>14</v>
      </c>
      <c r="L44" s="2719">
        <f>+I44*F44</f>
        <v>2456.9999999999995</v>
      </c>
      <c r="M44" s="2719"/>
      <c r="N44" s="453" t="s">
        <v>43</v>
      </c>
      <c r="O44" s="270"/>
    </row>
    <row r="45" spans="1:116" ht="16.5" customHeight="1">
      <c r="B45" s="283" t="s">
        <v>1688</v>
      </c>
      <c r="D45" s="1428"/>
      <c r="E45" s="579" t="s">
        <v>22</v>
      </c>
      <c r="F45" s="2724">
        <f>+BackupCon!G31</f>
        <v>0.54687500000000011</v>
      </c>
      <c r="G45" s="2724"/>
      <c r="H45" s="1438" t="s">
        <v>1717</v>
      </c>
      <c r="I45" s="443">
        <f>+'1.ต้นทุนถนน AC.'!Z12</f>
        <v>27200.350000000002</v>
      </c>
      <c r="J45" s="283" t="s">
        <v>43</v>
      </c>
      <c r="K45" s="446" t="s">
        <v>14</v>
      </c>
      <c r="L45" s="2719">
        <f>+I45*F45</f>
        <v>14875.191406250004</v>
      </c>
      <c r="M45" s="2719"/>
      <c r="N45" s="453" t="s">
        <v>43</v>
      </c>
      <c r="O45" s="270"/>
    </row>
    <row r="46" spans="1:116" ht="16.5" customHeight="1">
      <c r="B46" s="1442" t="s">
        <v>462</v>
      </c>
      <c r="D46" s="1428"/>
      <c r="E46" s="1439" t="s">
        <v>22</v>
      </c>
      <c r="F46" s="2731">
        <f>+BackupCon!H26</f>
        <v>8205.1200000000008</v>
      </c>
      <c r="G46" s="2731"/>
      <c r="H46" s="1438" t="s">
        <v>549</v>
      </c>
      <c r="I46" s="1443">
        <f>+ROUND((H16+M16*แหล่งวัสดุ!$U$69)/1000,2)</f>
        <v>20.04</v>
      </c>
      <c r="J46" s="283" t="s">
        <v>43</v>
      </c>
      <c r="K46" s="446" t="s">
        <v>14</v>
      </c>
      <c r="L46" s="2732">
        <f t="shared" si="0"/>
        <v>164430.6048</v>
      </c>
      <c r="M46" s="2732"/>
      <c r="N46" s="453" t="s">
        <v>43</v>
      </c>
      <c r="O46" s="270"/>
    </row>
    <row r="47" spans="1:116" ht="16.5" customHeight="1">
      <c r="B47" s="1442" t="s">
        <v>461</v>
      </c>
      <c r="D47" s="1428"/>
      <c r="E47" s="1439" t="s">
        <v>22</v>
      </c>
      <c r="F47" s="2731">
        <f>+BackupCon!H27</f>
        <v>30732.362100000002</v>
      </c>
      <c r="G47" s="2731"/>
      <c r="H47" s="1438" t="s">
        <v>549</v>
      </c>
      <c r="I47" s="1443">
        <f>+ROUND((H17+M17*แหล่งวัสดุ!$U$69)/1000,2)</f>
        <v>19.37</v>
      </c>
      <c r="J47" s="283" t="s">
        <v>43</v>
      </c>
      <c r="K47" s="446" t="s">
        <v>14</v>
      </c>
      <c r="L47" s="2732">
        <f t="shared" si="0"/>
        <v>595285.85387700005</v>
      </c>
      <c r="M47" s="2732"/>
      <c r="N47" s="453" t="s">
        <v>43</v>
      </c>
      <c r="O47" s="270"/>
    </row>
    <row r="48" spans="1:116" ht="16.5" customHeight="1">
      <c r="B48" s="1442" t="s">
        <v>662</v>
      </c>
      <c r="D48" s="1428"/>
      <c r="E48" s="1439" t="s">
        <v>22</v>
      </c>
      <c r="F48" s="2731">
        <f>+BackupCon!G29</f>
        <v>505.31250000000006</v>
      </c>
      <c r="G48" s="2731"/>
      <c r="H48" s="1438" t="s">
        <v>549</v>
      </c>
      <c r="I48" s="1443">
        <f>+ROUND((H18+M18*แหล่งวัสดุ!$U$69)/1000,2)</f>
        <v>19.190000000000001</v>
      </c>
      <c r="J48" s="283" t="s">
        <v>43</v>
      </c>
      <c r="K48" s="446" t="s">
        <v>14</v>
      </c>
      <c r="L48" s="2732">
        <f t="shared" si="0"/>
        <v>9696.9468750000015</v>
      </c>
      <c r="M48" s="2732"/>
      <c r="N48" s="453" t="s">
        <v>43</v>
      </c>
      <c r="O48" s="270"/>
      <c r="R48" s="548"/>
    </row>
    <row r="49" spans="1:18" ht="16.5" customHeight="1">
      <c r="B49" s="1442" t="s">
        <v>1718</v>
      </c>
      <c r="D49" s="1428"/>
      <c r="E49" s="1439" t="s">
        <v>22</v>
      </c>
      <c r="F49" s="2731">
        <f>+BackupCon!G28</f>
        <v>2117.5</v>
      </c>
      <c r="G49" s="2731"/>
      <c r="H49" s="1438" t="s">
        <v>549</v>
      </c>
      <c r="I49" s="1443">
        <f>+ROUND((H19+M19*แหล่งวัสดุ!$U$69)/1000,2)</f>
        <v>0.15</v>
      </c>
      <c r="J49" s="283" t="s">
        <v>43</v>
      </c>
      <c r="K49" s="446" t="s">
        <v>14</v>
      </c>
      <c r="L49" s="2732">
        <f t="shared" si="0"/>
        <v>317.625</v>
      </c>
      <c r="M49" s="2732"/>
      <c r="N49" s="453" t="s">
        <v>43</v>
      </c>
      <c r="O49" s="270"/>
      <c r="R49" s="548"/>
    </row>
    <row r="50" spans="1:18" ht="16.5" customHeight="1">
      <c r="B50" s="1442" t="s">
        <v>265</v>
      </c>
      <c r="D50" s="1428"/>
      <c r="E50" s="1439" t="s">
        <v>22</v>
      </c>
      <c r="F50" s="2733">
        <f>ROUND(SUM(F46:F49)*0.025,2)</f>
        <v>1039.01</v>
      </c>
      <c r="G50" s="2733"/>
      <c r="H50" s="1438" t="s">
        <v>549</v>
      </c>
      <c r="I50" s="388">
        <f>+แหล่งวัสดุ!F58</f>
        <v>46.73</v>
      </c>
      <c r="J50" s="283" t="s">
        <v>43</v>
      </c>
      <c r="K50" s="446" t="s">
        <v>14</v>
      </c>
      <c r="L50" s="2732">
        <f t="shared" si="0"/>
        <v>48552.937299999998</v>
      </c>
      <c r="M50" s="2732"/>
      <c r="N50" s="453" t="s">
        <v>43</v>
      </c>
      <c r="O50" s="270"/>
    </row>
    <row r="51" spans="1:18" ht="18" customHeight="1">
      <c r="B51" s="507" t="s">
        <v>2014</v>
      </c>
      <c r="E51" s="579" t="s">
        <v>22</v>
      </c>
      <c r="F51" s="2726">
        <f>+L41*0.1</f>
        <v>525</v>
      </c>
      <c r="G51" s="2726"/>
      <c r="H51" s="453" t="s">
        <v>262</v>
      </c>
      <c r="I51" s="585">
        <f>+'3.ต้นทุนวางท่อ'!H73</f>
        <v>291.43</v>
      </c>
      <c r="J51" s="283" t="s">
        <v>43</v>
      </c>
      <c r="K51" s="446" t="s">
        <v>14</v>
      </c>
      <c r="L51" s="2727">
        <f>F51*I51</f>
        <v>153000.75</v>
      </c>
      <c r="M51" s="2727"/>
      <c r="N51" s="453" t="s">
        <v>43</v>
      </c>
    </row>
    <row r="52" spans="1:18" ht="18" customHeight="1">
      <c r="B52" s="507" t="s">
        <v>2054</v>
      </c>
      <c r="E52" s="579" t="s">
        <v>22</v>
      </c>
      <c r="F52" s="2726">
        <f>SUM(F46:G47)</f>
        <v>38937.482100000001</v>
      </c>
      <c r="G52" s="2726"/>
      <c r="H52" s="453" t="s">
        <v>264</v>
      </c>
      <c r="I52" s="585">
        <f>+แหล่งวัสดุ!V32/1000</f>
        <v>4.0999999999999996</v>
      </c>
      <c r="J52" s="283" t="s">
        <v>43</v>
      </c>
      <c r="K52" s="446" t="s">
        <v>14</v>
      </c>
      <c r="L52" s="2727">
        <f>F52*I52</f>
        <v>159643.67660999999</v>
      </c>
      <c r="M52" s="2727"/>
      <c r="N52" s="453" t="s">
        <v>43</v>
      </c>
    </row>
    <row r="53" spans="1:18" ht="18" customHeight="1">
      <c r="B53" s="507" t="s">
        <v>2055</v>
      </c>
      <c r="E53" s="579" t="s">
        <v>22</v>
      </c>
      <c r="F53" s="2726">
        <f>+F48</f>
        <v>505.31250000000006</v>
      </c>
      <c r="G53" s="2726"/>
      <c r="H53" s="453" t="s">
        <v>264</v>
      </c>
      <c r="I53" s="585">
        <f>+แหล่งวัสดุ!V33/1000</f>
        <v>3.3</v>
      </c>
      <c r="J53" s="283" t="s">
        <v>43</v>
      </c>
      <c r="K53" s="446" t="s">
        <v>14</v>
      </c>
      <c r="L53" s="2727">
        <f>F53*I53</f>
        <v>1667.53125</v>
      </c>
      <c r="M53" s="2727"/>
      <c r="N53" s="453" t="s">
        <v>43</v>
      </c>
    </row>
    <row r="54" spans="1:18" ht="18" customHeight="1">
      <c r="B54" s="507" t="s">
        <v>2056</v>
      </c>
      <c r="E54" s="579" t="s">
        <v>22</v>
      </c>
      <c r="F54" s="2726">
        <f>+F49</f>
        <v>2117.5</v>
      </c>
      <c r="G54" s="2726"/>
      <c r="H54" s="453" t="s">
        <v>264</v>
      </c>
      <c r="I54" s="585">
        <f>+แหล่งวัสดุ!V34/1000</f>
        <v>2.9</v>
      </c>
      <c r="J54" s="283" t="s">
        <v>43</v>
      </c>
      <c r="K54" s="446" t="s">
        <v>14</v>
      </c>
      <c r="L54" s="2727">
        <f>F54*I54</f>
        <v>6140.75</v>
      </c>
      <c r="M54" s="2727"/>
      <c r="N54" s="453" t="s">
        <v>43</v>
      </c>
    </row>
    <row r="55" spans="1:18" ht="18" customHeight="1">
      <c r="B55" s="507" t="s">
        <v>1719</v>
      </c>
      <c r="E55" s="579" t="s">
        <v>22</v>
      </c>
      <c r="F55" s="2726">
        <f>+BackupCon!I30</f>
        <v>350</v>
      </c>
      <c r="G55" s="2726"/>
      <c r="H55" s="453" t="s">
        <v>266</v>
      </c>
      <c r="I55" s="585">
        <f>+แหล่งวัสดุ!V26</f>
        <v>133</v>
      </c>
      <c r="J55" s="283" t="s">
        <v>43</v>
      </c>
      <c r="K55" s="446" t="s">
        <v>14</v>
      </c>
      <c r="L55" s="2727">
        <f>F55*I55</f>
        <v>46550</v>
      </c>
      <c r="M55" s="2727"/>
      <c r="N55" s="453" t="s">
        <v>43</v>
      </c>
    </row>
    <row r="56" spans="1:18" ht="18" customHeight="1">
      <c r="B56" s="518" t="s">
        <v>1401</v>
      </c>
      <c r="E56" s="448" t="s">
        <v>22</v>
      </c>
      <c r="F56" s="2730">
        <f>+F42</f>
        <v>1050</v>
      </c>
      <c r="G56" s="2730"/>
      <c r="H56" s="438" t="s">
        <v>262</v>
      </c>
      <c r="I56" s="1422">
        <f>+แหล่งวัสดุ!V21</f>
        <v>306</v>
      </c>
      <c r="J56" s="283" t="s">
        <v>43</v>
      </c>
      <c r="K56" s="446" t="s">
        <v>14</v>
      </c>
      <c r="L56" s="2727">
        <f>+I56*F56</f>
        <v>321300</v>
      </c>
      <c r="M56" s="2727"/>
      <c r="N56" s="453" t="s">
        <v>43</v>
      </c>
    </row>
    <row r="57" spans="1:18" ht="18" customHeight="1">
      <c r="B57" s="518"/>
      <c r="D57" s="1430" t="s">
        <v>1720</v>
      </c>
      <c r="E57" s="448"/>
      <c r="F57" s="1445"/>
      <c r="G57" s="1445"/>
      <c r="H57" s="438"/>
      <c r="K57" s="446" t="s">
        <v>14</v>
      </c>
      <c r="L57" s="2719">
        <f>ROUND(SUM(L52:M56)/L41,2)</f>
        <v>101.96</v>
      </c>
      <c r="M57" s="2719"/>
      <c r="N57" s="453" t="s">
        <v>114</v>
      </c>
    </row>
    <row r="58" spans="1:18" ht="16.5" customHeight="1">
      <c r="D58" s="1430" t="s">
        <v>1721</v>
      </c>
      <c r="K58" s="446" t="s">
        <v>14</v>
      </c>
      <c r="L58" s="2719">
        <f>ROUND(SUM(L42:M51)/L41,2)</f>
        <v>634.44000000000005</v>
      </c>
      <c r="M58" s="2719"/>
      <c r="N58" s="453" t="s">
        <v>114</v>
      </c>
      <c r="O58" s="270"/>
    </row>
    <row r="59" spans="1:18" ht="16.5" customHeight="1">
      <c r="D59" s="1430" t="s">
        <v>1722</v>
      </c>
      <c r="K59" s="446" t="s">
        <v>14</v>
      </c>
      <c r="L59" s="2719">
        <f>ROUND(SUM(L57:M58),2)</f>
        <v>736.4</v>
      </c>
      <c r="M59" s="2719"/>
      <c r="N59" s="453" t="s">
        <v>114</v>
      </c>
      <c r="O59" s="270"/>
    </row>
    <row r="60" spans="1:18" ht="16.5" customHeight="1">
      <c r="A60" s="283">
        <v>9</v>
      </c>
      <c r="B60" s="1426" t="s">
        <v>1723</v>
      </c>
      <c r="D60" s="1430"/>
      <c r="K60" s="446"/>
      <c r="L60" s="1441"/>
      <c r="M60" s="1441"/>
      <c r="N60" s="453"/>
      <c r="O60" s="270"/>
    </row>
    <row r="61" spans="1:18" ht="16.5" customHeight="1">
      <c r="B61" s="1446" t="s">
        <v>1724</v>
      </c>
      <c r="D61" s="1430"/>
      <c r="H61" s="751"/>
      <c r="J61" s="1424"/>
      <c r="K61" s="454"/>
      <c r="L61" s="1441"/>
      <c r="M61" s="1441"/>
      <c r="N61" s="453"/>
      <c r="O61" s="270"/>
    </row>
    <row r="62" spans="1:18" ht="16.5" customHeight="1">
      <c r="B62" s="1446" t="str">
        <f>+"Transverse temperature steel ที่ต้องใช้   "&amp;'NO DELETE'!BF25&amp;"  Sq.mm/m."</f>
        <v>Transverse temperature steel ที่ต้องใช้   62  Sq.mm/m.</v>
      </c>
      <c r="D62" s="1430"/>
      <c r="O62" s="270"/>
    </row>
    <row r="63" spans="1:18" ht="16.5" customHeight="1">
      <c r="B63" s="1446"/>
      <c r="C63" s="283" t="s">
        <v>1725</v>
      </c>
      <c r="D63" s="1430"/>
      <c r="F63" s="751">
        <f>+'NO DELETE'!BC38</f>
        <v>0.15</v>
      </c>
      <c r="G63" s="454" t="s">
        <v>1726</v>
      </c>
      <c r="H63" s="437">
        <f>+VLOOKUP('NO DELETE'!$AY$45,'NO DELETE'!$AY$48:$BC$50,5)</f>
        <v>137.41</v>
      </c>
      <c r="I63" s="283" t="s">
        <v>1727</v>
      </c>
      <c r="J63" s="1447" t="str">
        <f>+IF(H63&lt;'NO DELETE'!$BF$25,"ใช้ไม่ได้","ใช้ได้")</f>
        <v>ใช้ได้</v>
      </c>
      <c r="K63" s="751"/>
      <c r="L63" s="454"/>
      <c r="O63" s="270"/>
    </row>
    <row r="64" spans="1:18" ht="16.5" customHeight="1">
      <c r="B64" s="1446" t="str">
        <f>+"Longitudinal temperature steel ที่ต้องใช้  "&amp;'NO DELETE'!BE25&amp;"  Sq.mm/m."</f>
        <v>Longitudinal temperature steel ที่ต้องใช้  139  Sq.mm/m.</v>
      </c>
      <c r="D64" s="1430"/>
      <c r="L64" s="454"/>
      <c r="O64" s="270"/>
    </row>
    <row r="65" spans="2:15" ht="16.5" customHeight="1">
      <c r="B65" s="1446"/>
      <c r="C65" s="283" t="s">
        <v>1725</v>
      </c>
      <c r="D65" s="1430"/>
      <c r="F65" s="751">
        <f>+'NO DELETE'!AZ38</f>
        <v>0.15</v>
      </c>
      <c r="G65" s="454" t="s">
        <v>1726</v>
      </c>
      <c r="H65" s="437">
        <f>+VLOOKUP('NO DELETE'!$AY$45,'NO DELETE'!$AY$42:$BC$44,5)</f>
        <v>137.41</v>
      </c>
      <c r="I65" s="283" t="s">
        <v>1727</v>
      </c>
      <c r="J65" s="1447" t="str">
        <f>+IF(H65&lt;'NO DELETE'!$BE$25,"ใช้ไม่ได้","ใช้ได้")</f>
        <v>ใช้ไม่ได้</v>
      </c>
      <c r="K65" s="751"/>
      <c r="L65" s="454"/>
      <c r="O65" s="270"/>
    </row>
    <row r="66" spans="2:15" ht="16.5" customHeight="1">
      <c r="B66" s="283" t="str">
        <f>+B42</f>
        <v>คอนกรีต คสล. ค. 3</v>
      </c>
      <c r="D66" s="1430"/>
      <c r="E66" s="579" t="s">
        <v>22</v>
      </c>
      <c r="F66" s="2728">
        <f>+F42</f>
        <v>1050</v>
      </c>
      <c r="G66" s="2721"/>
      <c r="H66" s="1438" t="s">
        <v>477</v>
      </c>
      <c r="I66" s="548">
        <f>+I42</f>
        <v>2113.54</v>
      </c>
      <c r="J66" s="283" t="s">
        <v>43</v>
      </c>
      <c r="K66" s="446" t="s">
        <v>14</v>
      </c>
      <c r="L66" s="2719">
        <f t="shared" ref="L66:L73" si="1">+I66*F66</f>
        <v>2219217</v>
      </c>
      <c r="M66" s="2719"/>
      <c r="N66" s="453" t="s">
        <v>43</v>
      </c>
      <c r="O66" s="270"/>
    </row>
    <row r="67" spans="2:15" ht="16.5" customHeight="1">
      <c r="B67" s="283" t="str">
        <f>+B43</f>
        <v>ไม้แบบ คิด 25%</v>
      </c>
      <c r="D67" s="1430"/>
      <c r="E67" s="579" t="s">
        <v>22</v>
      </c>
      <c r="F67" s="2728">
        <f>+F43</f>
        <v>350</v>
      </c>
      <c r="G67" s="2721"/>
      <c r="H67" s="1438" t="s">
        <v>266</v>
      </c>
      <c r="I67" s="548">
        <f>+I43</f>
        <v>351.3</v>
      </c>
      <c r="J67" s="283" t="s">
        <v>43</v>
      </c>
      <c r="K67" s="446" t="s">
        <v>14</v>
      </c>
      <c r="L67" s="2719">
        <f t="shared" si="1"/>
        <v>122955</v>
      </c>
      <c r="M67" s="2719"/>
      <c r="N67" s="453" t="s">
        <v>43</v>
      </c>
      <c r="O67" s="270"/>
    </row>
    <row r="68" spans="2:15" ht="16.5" customHeight="1">
      <c r="B68" s="283" t="s">
        <v>466</v>
      </c>
      <c r="D68" s="1428"/>
      <c r="E68" s="579" t="s">
        <v>22</v>
      </c>
      <c r="F68" s="2728">
        <f>+BackupCon!G32</f>
        <v>5250</v>
      </c>
      <c r="G68" s="2721"/>
      <c r="H68" s="1438" t="s">
        <v>266</v>
      </c>
      <c r="I68" s="443">
        <f>+H20</f>
        <v>53</v>
      </c>
      <c r="J68" s="283" t="s">
        <v>43</v>
      </c>
      <c r="K68" s="446" t="s">
        <v>14</v>
      </c>
      <c r="L68" s="2719">
        <f t="shared" si="1"/>
        <v>278250</v>
      </c>
      <c r="M68" s="2719"/>
      <c r="N68" s="453" t="s">
        <v>43</v>
      </c>
      <c r="O68" s="270"/>
    </row>
    <row r="69" spans="2:15" ht="16.5" customHeight="1">
      <c r="B69" s="283" t="s">
        <v>1728</v>
      </c>
      <c r="D69" s="1428"/>
      <c r="E69" s="579" t="s">
        <v>22</v>
      </c>
      <c r="F69" s="2725">
        <f>+F68*1.32</f>
        <v>6930</v>
      </c>
      <c r="G69" s="2725"/>
      <c r="H69" s="1438" t="s">
        <v>264</v>
      </c>
      <c r="I69" s="443">
        <f>+BackupCon!J31/'2.ต้นทุนถนน Con.'!F69</f>
        <v>1.6835016835016834</v>
      </c>
      <c r="J69" s="283" t="s">
        <v>43</v>
      </c>
      <c r="K69" s="446" t="s">
        <v>14</v>
      </c>
      <c r="L69" s="2719">
        <f t="shared" si="1"/>
        <v>11666.666666666666</v>
      </c>
      <c r="M69" s="2719"/>
      <c r="N69" s="453" t="s">
        <v>43</v>
      </c>
      <c r="O69" s="270"/>
    </row>
    <row r="70" spans="2:15" ht="16.5" customHeight="1">
      <c r="B70" s="283" t="s">
        <v>1716</v>
      </c>
      <c r="D70" s="1428"/>
      <c r="E70" s="579" t="s">
        <v>22</v>
      </c>
      <c r="F70" s="2729">
        <f>+L41</f>
        <v>5250</v>
      </c>
      <c r="G70" s="2729"/>
      <c r="H70" s="1438" t="s">
        <v>266</v>
      </c>
      <c r="I70" s="443">
        <v>3.9</v>
      </c>
      <c r="J70" s="283" t="s">
        <v>43</v>
      </c>
      <c r="K70" s="446" t="s">
        <v>14</v>
      </c>
      <c r="L70" s="2719">
        <f t="shared" si="1"/>
        <v>20475</v>
      </c>
      <c r="M70" s="2719"/>
      <c r="N70" s="453" t="s">
        <v>43</v>
      </c>
      <c r="O70" s="270"/>
    </row>
    <row r="71" spans="2:15" ht="16.5" customHeight="1">
      <c r="B71" s="283" t="s">
        <v>1688</v>
      </c>
      <c r="D71" s="1428"/>
      <c r="E71" s="579" t="s">
        <v>22</v>
      </c>
      <c r="F71" s="2724">
        <f>+ROUND(BackupCon!G31,2)</f>
        <v>0.55000000000000004</v>
      </c>
      <c r="G71" s="2724"/>
      <c r="H71" s="1438" t="s">
        <v>1717</v>
      </c>
      <c r="I71" s="443">
        <f>+I45</f>
        <v>27200.350000000002</v>
      </c>
      <c r="J71" s="283" t="s">
        <v>43</v>
      </c>
      <c r="K71" s="446" t="s">
        <v>14</v>
      </c>
      <c r="L71" s="2719">
        <f t="shared" si="1"/>
        <v>14960.192500000003</v>
      </c>
      <c r="M71" s="2719"/>
      <c r="N71" s="453" t="s">
        <v>43</v>
      </c>
      <c r="O71" s="270"/>
    </row>
    <row r="72" spans="2:15" ht="16.5" customHeight="1">
      <c r="B72" s="283" t="str">
        <f>+B48</f>
        <v>เหล็กเสริม  DB 12 mm.</v>
      </c>
      <c r="D72" s="1428"/>
      <c r="E72" s="579" t="s">
        <v>22</v>
      </c>
      <c r="F72" s="2725">
        <f>+F48</f>
        <v>505.31250000000006</v>
      </c>
      <c r="G72" s="2725"/>
      <c r="H72" s="1438" t="s">
        <v>264</v>
      </c>
      <c r="I72" s="443">
        <f>+I48</f>
        <v>19.190000000000001</v>
      </c>
      <c r="J72" s="283" t="s">
        <v>43</v>
      </c>
      <c r="K72" s="446" t="s">
        <v>14</v>
      </c>
      <c r="L72" s="2719">
        <f t="shared" si="1"/>
        <v>9696.9468750000015</v>
      </c>
      <c r="M72" s="2719"/>
      <c r="N72" s="453" t="s">
        <v>43</v>
      </c>
      <c r="O72" s="270"/>
    </row>
    <row r="73" spans="2:15" ht="16.5" customHeight="1">
      <c r="B73" s="283" t="str">
        <f>+B49</f>
        <v>เหล็กเสริม  RB 25 mm.</v>
      </c>
      <c r="D73" s="1428"/>
      <c r="E73" s="579" t="s">
        <v>22</v>
      </c>
      <c r="F73" s="2725">
        <f>+F49</f>
        <v>2117.5</v>
      </c>
      <c r="G73" s="2725"/>
      <c r="H73" s="1438" t="s">
        <v>264</v>
      </c>
      <c r="I73" s="443">
        <f>+I49</f>
        <v>0.15</v>
      </c>
      <c r="J73" s="283" t="s">
        <v>43</v>
      </c>
      <c r="K73" s="446" t="s">
        <v>14</v>
      </c>
      <c r="L73" s="2719">
        <f t="shared" si="1"/>
        <v>317.625</v>
      </c>
      <c r="M73" s="2719"/>
      <c r="N73" s="453" t="s">
        <v>43</v>
      </c>
      <c r="O73" s="270"/>
    </row>
    <row r="74" spans="2:15" ht="18" customHeight="1">
      <c r="B74" s="507" t="s">
        <v>2055</v>
      </c>
      <c r="E74" s="579" t="s">
        <v>22</v>
      </c>
      <c r="F74" s="2726">
        <f>+F72</f>
        <v>505.31250000000006</v>
      </c>
      <c r="G74" s="2726"/>
      <c r="H74" s="453" t="s">
        <v>264</v>
      </c>
      <c r="I74" s="585">
        <f>+I53</f>
        <v>3.3</v>
      </c>
      <c r="J74" s="283" t="s">
        <v>43</v>
      </c>
      <c r="K74" s="446" t="s">
        <v>14</v>
      </c>
      <c r="L74" s="2727">
        <f>F74*I74</f>
        <v>1667.53125</v>
      </c>
      <c r="M74" s="2727"/>
      <c r="N74" s="453" t="s">
        <v>43</v>
      </c>
    </row>
    <row r="75" spans="2:15" ht="18" customHeight="1">
      <c r="B75" s="507" t="s">
        <v>2056</v>
      </c>
      <c r="E75" s="579" t="s">
        <v>22</v>
      </c>
      <c r="F75" s="2726">
        <f>+F73</f>
        <v>2117.5</v>
      </c>
      <c r="G75" s="2726"/>
      <c r="H75" s="453" t="s">
        <v>264</v>
      </c>
      <c r="I75" s="585">
        <f>+I54</f>
        <v>2.9</v>
      </c>
      <c r="J75" s="283" t="s">
        <v>43</v>
      </c>
      <c r="K75" s="446" t="s">
        <v>14</v>
      </c>
      <c r="L75" s="2727">
        <f>F75*I75</f>
        <v>6140.75</v>
      </c>
      <c r="M75" s="2727"/>
      <c r="N75" s="453" t="s">
        <v>43</v>
      </c>
    </row>
    <row r="76" spans="2:15" ht="18" customHeight="1">
      <c r="B76" s="507" t="s">
        <v>1719</v>
      </c>
      <c r="E76" s="579" t="s">
        <v>22</v>
      </c>
      <c r="F76" s="2722">
        <f>+F55</f>
        <v>350</v>
      </c>
      <c r="G76" s="2722"/>
      <c r="H76" s="453" t="s">
        <v>266</v>
      </c>
      <c r="I76" s="585">
        <f>+I55</f>
        <v>133</v>
      </c>
      <c r="J76" s="283" t="s">
        <v>43</v>
      </c>
      <c r="K76" s="446" t="s">
        <v>14</v>
      </c>
      <c r="L76" s="2719">
        <f>F76*I76</f>
        <v>46550</v>
      </c>
      <c r="M76" s="2719"/>
      <c r="N76" s="453" t="s">
        <v>43</v>
      </c>
    </row>
    <row r="77" spans="2:15" ht="18" customHeight="1">
      <c r="B77" s="518" t="s">
        <v>1401</v>
      </c>
      <c r="E77" s="448" t="s">
        <v>22</v>
      </c>
      <c r="F77" s="2723">
        <f>+F56</f>
        <v>1050</v>
      </c>
      <c r="G77" s="2723"/>
      <c r="H77" s="438" t="s">
        <v>262</v>
      </c>
      <c r="I77" s="1422">
        <f>+I56</f>
        <v>306</v>
      </c>
      <c r="J77" s="283" t="s">
        <v>43</v>
      </c>
      <c r="K77" s="446" t="s">
        <v>14</v>
      </c>
      <c r="L77" s="2719">
        <f>+I77*F77</f>
        <v>321300</v>
      </c>
      <c r="M77" s="2719"/>
      <c r="N77" s="453" t="s">
        <v>43</v>
      </c>
    </row>
    <row r="78" spans="2:15" ht="18" customHeight="1">
      <c r="B78" s="507" t="s">
        <v>1729</v>
      </c>
      <c r="E78" s="579" t="s">
        <v>22</v>
      </c>
      <c r="F78" s="2722">
        <f>+F68</f>
        <v>5250</v>
      </c>
      <c r="G78" s="2722"/>
      <c r="H78" s="1438" t="s">
        <v>266</v>
      </c>
      <c r="I78" s="585">
        <f>+แหล่งวัสดุ!V35</f>
        <v>5</v>
      </c>
      <c r="J78" s="283" t="s">
        <v>43</v>
      </c>
      <c r="K78" s="446" t="s">
        <v>14</v>
      </c>
      <c r="L78" s="2719">
        <f>F78*I78</f>
        <v>26250</v>
      </c>
      <c r="M78" s="2719"/>
      <c r="N78" s="453" t="s">
        <v>43</v>
      </c>
    </row>
    <row r="79" spans="2:15" ht="16.5" customHeight="1">
      <c r="D79" s="1430" t="s">
        <v>1720</v>
      </c>
      <c r="K79" s="446" t="s">
        <v>14</v>
      </c>
      <c r="L79" s="2719">
        <f>ROUND(SUM(L74:M78)/L41,2)</f>
        <v>76.55</v>
      </c>
      <c r="M79" s="2719"/>
      <c r="N79" s="453" t="s">
        <v>114</v>
      </c>
      <c r="O79" s="270"/>
    </row>
    <row r="80" spans="2:15" ht="16.5" customHeight="1">
      <c r="D80" s="1430" t="s">
        <v>1721</v>
      </c>
      <c r="K80" s="446" t="s">
        <v>14</v>
      </c>
      <c r="L80" s="2720">
        <f>+(SUM(L66:M73))/L41</f>
        <v>510.00732019841263</v>
      </c>
      <c r="M80" s="2721"/>
      <c r="N80" s="453" t="s">
        <v>114</v>
      </c>
      <c r="O80" s="270"/>
    </row>
    <row r="81" spans="1:15" ht="16.5" customHeight="1">
      <c r="D81" s="1430" t="s">
        <v>1722</v>
      </c>
      <c r="K81" s="446" t="s">
        <v>14</v>
      </c>
      <c r="L81" s="2720">
        <f>SUM(L79:M80)</f>
        <v>586.55732019841264</v>
      </c>
      <c r="M81" s="2721"/>
      <c r="N81" s="453" t="s">
        <v>114</v>
      </c>
      <c r="O81" s="270"/>
    </row>
    <row r="82" spans="1:15">
      <c r="A82" s="434"/>
      <c r="B82" s="1448" t="s">
        <v>19</v>
      </c>
      <c r="C82" s="1448"/>
      <c r="D82" s="434"/>
      <c r="E82" s="434"/>
      <c r="F82" s="434"/>
      <c r="G82" s="434"/>
      <c r="H82" s="434"/>
      <c r="I82" s="434"/>
      <c r="L82" s="437"/>
    </row>
    <row r="83" spans="1:15" ht="21.75">
      <c r="A83" s="434"/>
      <c r="B83" s="434" t="s">
        <v>359</v>
      </c>
      <c r="C83" s="434"/>
      <c r="D83" s="434"/>
      <c r="E83" s="434"/>
      <c r="F83" s="434"/>
      <c r="G83" s="547">
        <f>แหล่งวัสดุ!C7</f>
        <v>23.5</v>
      </c>
      <c r="H83" s="434" t="s">
        <v>20</v>
      </c>
      <c r="I83" s="434"/>
    </row>
    <row r="84" spans="1:15" ht="21.75">
      <c r="A84" s="434"/>
      <c r="B84" s="434" t="s">
        <v>360</v>
      </c>
      <c r="C84" s="434"/>
      <c r="D84" s="434"/>
      <c r="E84" s="434"/>
      <c r="F84" s="1449" t="str">
        <f>IF(แหล่งวัสดุ!H4=1,"ฝนตกชุก 1","ฝนตกชุก 2")</f>
        <v>ฝนตกชุก 1</v>
      </c>
      <c r="G84" s="434"/>
      <c r="H84" s="434"/>
      <c r="I84" s="434"/>
    </row>
    <row r="85" spans="1:15">
      <c r="A85" s="434"/>
      <c r="B85" s="434"/>
      <c r="C85" s="434"/>
      <c r="D85" s="434"/>
      <c r="E85" s="434"/>
      <c r="F85" s="434"/>
      <c r="G85" s="1450"/>
      <c r="H85" s="434"/>
      <c r="I85" s="434"/>
    </row>
    <row r="86" spans="1:15">
      <c r="A86" s="434"/>
      <c r="B86" s="434"/>
      <c r="C86" s="434"/>
      <c r="D86" s="434"/>
      <c r="E86" s="434"/>
      <c r="F86" s="434"/>
      <c r="G86" s="434"/>
      <c r="H86" s="434"/>
      <c r="I86" s="434"/>
    </row>
    <row r="87" spans="1:15">
      <c r="A87" s="434"/>
      <c r="B87" s="434"/>
      <c r="C87" s="434"/>
      <c r="D87" s="434"/>
      <c r="E87" s="434"/>
      <c r="F87" s="434"/>
      <c r="G87" s="434"/>
      <c r="H87" s="434"/>
      <c r="I87" s="434"/>
    </row>
    <row r="88" spans="1:15">
      <c r="A88" s="434"/>
      <c r="B88" s="434"/>
      <c r="C88" s="434"/>
      <c r="D88" s="434"/>
      <c r="E88" s="434"/>
      <c r="F88" s="434"/>
      <c r="G88" s="434"/>
      <c r="H88" s="434"/>
      <c r="I88" s="434"/>
    </row>
    <row r="89" spans="1:15">
      <c r="A89" s="434"/>
      <c r="B89" s="434"/>
      <c r="C89" s="434"/>
      <c r="D89" s="434"/>
      <c r="E89" s="434"/>
      <c r="F89" s="434"/>
      <c r="G89" s="434"/>
      <c r="H89" s="434"/>
      <c r="I89" s="434"/>
    </row>
    <row r="90" spans="1:15">
      <c r="A90" s="434"/>
      <c r="B90" s="434"/>
      <c r="C90" s="434"/>
      <c r="D90" s="434"/>
      <c r="E90" s="434"/>
      <c r="F90" s="434"/>
      <c r="G90" s="434"/>
      <c r="H90" s="434"/>
      <c r="I90" s="434"/>
    </row>
    <row r="91" spans="1:15">
      <c r="A91" s="434"/>
      <c r="B91" s="434"/>
      <c r="C91" s="434"/>
      <c r="D91" s="434"/>
      <c r="E91" s="434"/>
      <c r="F91" s="434"/>
      <c r="G91" s="434"/>
      <c r="H91" s="434"/>
      <c r="I91" s="434"/>
    </row>
    <row r="92" spans="1:15">
      <c r="A92" s="434"/>
      <c r="B92" s="434"/>
      <c r="C92" s="434"/>
      <c r="D92" s="434"/>
      <c r="E92" s="434"/>
      <c r="F92" s="434"/>
      <c r="G92" s="434"/>
      <c r="H92" s="434"/>
      <c r="I92" s="434"/>
    </row>
    <row r="93" spans="1:15">
      <c r="A93" s="434"/>
      <c r="B93" s="434"/>
      <c r="C93" s="434"/>
      <c r="D93" s="434"/>
      <c r="E93" s="434"/>
      <c r="F93" s="434"/>
      <c r="G93" s="434"/>
      <c r="H93" s="434"/>
      <c r="I93" s="434"/>
    </row>
    <row r="94" spans="1:15">
      <c r="A94" s="434"/>
      <c r="B94" s="434"/>
      <c r="C94" s="434"/>
      <c r="D94" s="434"/>
      <c r="E94" s="434"/>
      <c r="F94" s="434"/>
      <c r="G94" s="434"/>
      <c r="H94" s="434"/>
      <c r="I94" s="434"/>
    </row>
    <row r="95" spans="1:15">
      <c r="A95" s="434"/>
      <c r="B95" s="434"/>
      <c r="C95" s="434"/>
      <c r="D95" s="434"/>
      <c r="E95" s="434"/>
      <c r="F95" s="434"/>
      <c r="G95" s="434"/>
      <c r="H95" s="434"/>
      <c r="I95" s="434"/>
    </row>
    <row r="96" spans="1:15">
      <c r="A96" s="434"/>
      <c r="B96" s="434"/>
      <c r="C96" s="434"/>
      <c r="D96" s="434"/>
      <c r="E96" s="434"/>
      <c r="F96" s="434"/>
      <c r="G96" s="434"/>
      <c r="H96" s="434"/>
      <c r="I96" s="434"/>
    </row>
    <row r="97" spans="1:9">
      <c r="A97" s="434"/>
      <c r="B97" s="434"/>
      <c r="C97" s="434"/>
      <c r="D97" s="434"/>
      <c r="E97" s="434"/>
      <c r="F97" s="434"/>
      <c r="G97" s="434"/>
      <c r="H97" s="434"/>
      <c r="I97" s="434"/>
    </row>
    <row r="98" spans="1:9">
      <c r="A98" s="434"/>
      <c r="B98" s="434"/>
      <c r="C98" s="434"/>
      <c r="D98" s="434"/>
      <c r="E98" s="434"/>
      <c r="F98" s="434"/>
      <c r="G98" s="434"/>
      <c r="H98" s="434"/>
      <c r="I98" s="434"/>
    </row>
    <row r="99" spans="1:9">
      <c r="A99" s="434"/>
      <c r="B99" s="434"/>
      <c r="C99" s="434"/>
      <c r="D99" s="434"/>
      <c r="E99" s="434"/>
      <c r="F99" s="434"/>
      <c r="G99" s="434"/>
      <c r="H99" s="434"/>
      <c r="I99" s="434"/>
    </row>
    <row r="100" spans="1:9">
      <c r="A100" s="434"/>
      <c r="B100" s="434"/>
      <c r="C100" s="434"/>
      <c r="D100" s="434"/>
      <c r="E100" s="434"/>
      <c r="F100" s="434"/>
      <c r="G100" s="434"/>
      <c r="H100" s="434"/>
      <c r="I100" s="434"/>
    </row>
    <row r="101" spans="1:9">
      <c r="A101" s="434"/>
      <c r="B101" s="434"/>
      <c r="C101" s="434"/>
      <c r="D101" s="434"/>
      <c r="E101" s="434"/>
      <c r="F101" s="434"/>
      <c r="G101" s="434"/>
      <c r="H101" s="434"/>
      <c r="I101" s="434"/>
    </row>
    <row r="102" spans="1:9">
      <c r="A102" s="434"/>
      <c r="B102" s="434"/>
      <c r="C102" s="434"/>
      <c r="D102" s="434"/>
      <c r="E102" s="434"/>
      <c r="F102" s="434"/>
      <c r="G102" s="434"/>
      <c r="H102" s="434"/>
      <c r="I102" s="434"/>
    </row>
    <row r="103" spans="1:9">
      <c r="A103" s="434"/>
      <c r="B103" s="434"/>
      <c r="C103" s="434"/>
      <c r="D103" s="434"/>
      <c r="E103" s="434"/>
      <c r="F103" s="434"/>
      <c r="G103" s="434"/>
      <c r="H103" s="434"/>
      <c r="I103" s="434"/>
    </row>
    <row r="104" spans="1:9">
      <c r="A104" s="434"/>
      <c r="B104" s="434"/>
      <c r="C104" s="434"/>
      <c r="D104" s="434"/>
      <c r="E104" s="434"/>
      <c r="F104" s="434"/>
      <c r="G104" s="434"/>
      <c r="H104" s="434"/>
      <c r="I104" s="434"/>
    </row>
    <row r="105" spans="1:9">
      <c r="A105" s="434"/>
      <c r="B105" s="434"/>
      <c r="C105" s="434"/>
      <c r="D105" s="434"/>
      <c r="E105" s="434"/>
      <c r="F105" s="434"/>
      <c r="G105" s="434"/>
      <c r="H105" s="434"/>
      <c r="I105" s="434"/>
    </row>
    <row r="106" spans="1:9">
      <c r="A106" s="434"/>
      <c r="B106" s="434"/>
      <c r="C106" s="434"/>
      <c r="D106" s="434"/>
      <c r="E106" s="434"/>
      <c r="F106" s="434"/>
      <c r="G106" s="434"/>
      <c r="H106" s="434"/>
      <c r="I106" s="434"/>
    </row>
    <row r="107" spans="1:9">
      <c r="A107" s="434"/>
      <c r="B107" s="434"/>
      <c r="C107" s="434"/>
      <c r="D107" s="434"/>
      <c r="E107" s="434"/>
      <c r="F107" s="434"/>
      <c r="G107" s="434"/>
      <c r="H107" s="434"/>
      <c r="I107" s="434"/>
    </row>
    <row r="108" spans="1:9">
      <c r="A108" s="434"/>
      <c r="B108" s="434"/>
      <c r="C108" s="434"/>
      <c r="D108" s="434"/>
      <c r="E108" s="434"/>
      <c r="F108" s="434"/>
      <c r="G108" s="434"/>
      <c r="H108" s="434"/>
      <c r="I108" s="434"/>
    </row>
    <row r="109" spans="1:9">
      <c r="A109" s="434"/>
      <c r="B109" s="434"/>
      <c r="C109" s="434"/>
      <c r="D109" s="434"/>
      <c r="E109" s="434"/>
      <c r="F109" s="434"/>
      <c r="G109" s="434"/>
      <c r="H109" s="434"/>
      <c r="I109" s="434"/>
    </row>
    <row r="110" spans="1:9">
      <c r="A110" s="434"/>
      <c r="B110" s="434"/>
      <c r="C110" s="434"/>
      <c r="D110" s="434"/>
      <c r="E110" s="434"/>
      <c r="F110" s="434"/>
      <c r="G110" s="434"/>
      <c r="H110" s="434"/>
      <c r="I110" s="434"/>
    </row>
    <row r="111" spans="1:9">
      <c r="A111" s="434"/>
      <c r="B111" s="434"/>
      <c r="C111" s="434"/>
      <c r="D111" s="434"/>
      <c r="E111" s="434"/>
      <c r="F111" s="434"/>
      <c r="G111" s="434"/>
      <c r="H111" s="434"/>
      <c r="I111" s="434"/>
    </row>
    <row r="112" spans="1:9">
      <c r="A112" s="434"/>
      <c r="B112" s="434"/>
      <c r="C112" s="434"/>
      <c r="D112" s="434"/>
      <c r="E112" s="434"/>
      <c r="F112" s="434"/>
      <c r="G112" s="434"/>
      <c r="H112" s="434"/>
      <c r="I112" s="434"/>
    </row>
    <row r="113" spans="1:9">
      <c r="A113" s="434"/>
      <c r="B113" s="434"/>
      <c r="C113" s="434"/>
      <c r="D113" s="434"/>
      <c r="E113" s="434"/>
      <c r="F113" s="434"/>
      <c r="G113" s="434"/>
      <c r="H113" s="434"/>
      <c r="I113" s="434"/>
    </row>
    <row r="114" spans="1:9">
      <c r="A114" s="434"/>
      <c r="B114" s="434"/>
      <c r="C114" s="434"/>
      <c r="D114" s="434"/>
      <c r="E114" s="434"/>
      <c r="F114" s="434"/>
      <c r="G114" s="434"/>
      <c r="H114" s="434"/>
      <c r="I114" s="434"/>
    </row>
    <row r="115" spans="1:9">
      <c r="A115" s="434"/>
      <c r="B115" s="434"/>
      <c r="C115" s="434"/>
      <c r="D115" s="434"/>
      <c r="E115" s="434"/>
      <c r="F115" s="434"/>
      <c r="G115" s="434"/>
      <c r="H115" s="434"/>
      <c r="I115" s="434"/>
    </row>
    <row r="116" spans="1:9">
      <c r="A116" s="434"/>
      <c r="B116" s="434"/>
      <c r="C116" s="434"/>
      <c r="D116" s="434"/>
      <c r="E116" s="434"/>
      <c r="F116" s="434"/>
      <c r="G116" s="434"/>
      <c r="H116" s="434"/>
      <c r="I116" s="434"/>
    </row>
    <row r="117" spans="1:9">
      <c r="A117" s="434"/>
      <c r="B117" s="434"/>
      <c r="C117" s="434"/>
      <c r="D117" s="434"/>
      <c r="E117" s="434"/>
      <c r="F117" s="434"/>
      <c r="G117" s="434"/>
      <c r="H117" s="434"/>
      <c r="I117" s="434"/>
    </row>
    <row r="118" spans="1:9">
      <c r="A118" s="434"/>
      <c r="B118" s="434"/>
      <c r="C118" s="434"/>
      <c r="D118" s="434"/>
      <c r="E118" s="434"/>
      <c r="F118" s="434"/>
      <c r="G118" s="434"/>
      <c r="H118" s="434"/>
      <c r="I118" s="434"/>
    </row>
    <row r="119" spans="1:9">
      <c r="A119" s="434"/>
      <c r="B119" s="434"/>
      <c r="C119" s="434"/>
      <c r="D119" s="434"/>
      <c r="E119" s="434"/>
      <c r="F119" s="434"/>
      <c r="G119" s="434"/>
      <c r="H119" s="434"/>
      <c r="I119" s="434"/>
    </row>
    <row r="120" spans="1:9">
      <c r="A120" s="434"/>
      <c r="B120" s="434"/>
      <c r="C120" s="434"/>
      <c r="D120" s="434"/>
      <c r="E120" s="434"/>
      <c r="F120" s="434"/>
      <c r="G120" s="434"/>
      <c r="H120" s="434"/>
      <c r="I120" s="434"/>
    </row>
    <row r="121" spans="1:9">
      <c r="A121" s="434"/>
      <c r="B121" s="434"/>
      <c r="C121" s="434"/>
      <c r="D121" s="434"/>
      <c r="E121" s="434"/>
      <c r="F121" s="434"/>
      <c r="G121" s="434"/>
      <c r="H121" s="434"/>
      <c r="I121" s="434"/>
    </row>
    <row r="122" spans="1:9">
      <c r="A122" s="434"/>
      <c r="B122" s="434"/>
      <c r="C122" s="434"/>
      <c r="D122" s="434"/>
      <c r="E122" s="434"/>
      <c r="F122" s="434"/>
      <c r="G122" s="434"/>
      <c r="H122" s="434"/>
      <c r="I122" s="434"/>
    </row>
    <row r="123" spans="1:9">
      <c r="A123" s="434"/>
      <c r="B123" s="434"/>
      <c r="C123" s="434"/>
      <c r="D123" s="434"/>
      <c r="E123" s="434"/>
      <c r="F123" s="434"/>
      <c r="G123" s="434"/>
      <c r="H123" s="434"/>
      <c r="I123" s="434"/>
    </row>
    <row r="124" spans="1:9">
      <c r="A124" s="434"/>
      <c r="B124" s="434"/>
      <c r="C124" s="434"/>
      <c r="D124" s="434"/>
      <c r="E124" s="434"/>
      <c r="F124" s="434"/>
      <c r="G124" s="434"/>
      <c r="H124" s="434"/>
      <c r="I124" s="434"/>
    </row>
    <row r="125" spans="1:9">
      <c r="A125" s="434"/>
      <c r="B125" s="434"/>
      <c r="C125" s="434"/>
      <c r="D125" s="434"/>
      <c r="E125" s="434"/>
      <c r="F125" s="434"/>
      <c r="G125" s="434"/>
      <c r="H125" s="434"/>
      <c r="I125" s="434"/>
    </row>
    <row r="126" spans="1:9">
      <c r="A126" s="434"/>
      <c r="B126" s="434"/>
      <c r="C126" s="434"/>
      <c r="D126" s="434"/>
      <c r="E126" s="434"/>
      <c r="F126" s="434"/>
      <c r="G126" s="434"/>
      <c r="H126" s="434"/>
      <c r="I126" s="434"/>
    </row>
    <row r="127" spans="1:9">
      <c r="A127" s="434"/>
      <c r="B127" s="434"/>
      <c r="C127" s="434"/>
      <c r="D127" s="434"/>
      <c r="E127" s="434"/>
      <c r="F127" s="434"/>
      <c r="G127" s="434"/>
      <c r="H127" s="434"/>
      <c r="I127" s="434"/>
    </row>
    <row r="128" spans="1:9">
      <c r="A128" s="434"/>
      <c r="B128" s="434"/>
      <c r="C128" s="434"/>
      <c r="D128" s="434"/>
      <c r="E128" s="434"/>
      <c r="F128" s="434"/>
      <c r="G128" s="434"/>
      <c r="H128" s="434"/>
      <c r="I128" s="434"/>
    </row>
    <row r="129" spans="1:9">
      <c r="A129" s="434"/>
      <c r="B129" s="434"/>
      <c r="C129" s="434"/>
      <c r="D129" s="434"/>
      <c r="E129" s="434"/>
      <c r="F129" s="434"/>
      <c r="G129" s="434"/>
      <c r="H129" s="434"/>
      <c r="I129" s="434"/>
    </row>
    <row r="130" spans="1:9">
      <c r="A130" s="434"/>
      <c r="B130" s="434"/>
      <c r="C130" s="434"/>
      <c r="D130" s="434"/>
      <c r="E130" s="434"/>
      <c r="F130" s="434"/>
      <c r="G130" s="434"/>
      <c r="H130" s="434"/>
      <c r="I130" s="434"/>
    </row>
    <row r="131" spans="1:9">
      <c r="A131" s="434"/>
      <c r="B131" s="434"/>
      <c r="C131" s="434"/>
      <c r="D131" s="434"/>
      <c r="E131" s="434"/>
      <c r="F131" s="434"/>
      <c r="G131" s="434"/>
      <c r="H131" s="434"/>
      <c r="I131" s="434"/>
    </row>
    <row r="132" spans="1:9">
      <c r="A132" s="434"/>
      <c r="B132" s="434"/>
      <c r="C132" s="434"/>
      <c r="D132" s="434"/>
      <c r="E132" s="434"/>
      <c r="F132" s="434"/>
      <c r="G132" s="434"/>
      <c r="H132" s="434"/>
      <c r="I132" s="434"/>
    </row>
    <row r="133" spans="1:9">
      <c r="A133" s="434"/>
      <c r="B133" s="434"/>
      <c r="C133" s="434"/>
      <c r="D133" s="434"/>
      <c r="E133" s="434"/>
      <c r="F133" s="434"/>
      <c r="G133" s="434"/>
      <c r="H133" s="434"/>
      <c r="I133" s="434"/>
    </row>
    <row r="134" spans="1:9">
      <c r="A134" s="434"/>
      <c r="B134" s="434"/>
      <c r="C134" s="434"/>
      <c r="D134" s="434"/>
      <c r="E134" s="434"/>
      <c r="F134" s="434"/>
      <c r="G134" s="434"/>
      <c r="H134" s="434"/>
      <c r="I134" s="434"/>
    </row>
    <row r="135" spans="1:9">
      <c r="A135" s="434"/>
      <c r="B135" s="434"/>
      <c r="C135" s="434"/>
      <c r="D135" s="434"/>
      <c r="E135" s="434"/>
      <c r="F135" s="434"/>
      <c r="G135" s="434"/>
      <c r="H135" s="434"/>
      <c r="I135" s="434"/>
    </row>
    <row r="136" spans="1:9">
      <c r="A136" s="434"/>
      <c r="B136" s="434"/>
      <c r="C136" s="434"/>
      <c r="D136" s="434"/>
      <c r="E136" s="434"/>
      <c r="F136" s="434"/>
      <c r="G136" s="434"/>
      <c r="H136" s="434"/>
      <c r="I136" s="434"/>
    </row>
    <row r="137" spans="1:9">
      <c r="A137" s="434"/>
      <c r="B137" s="434"/>
      <c r="C137" s="434"/>
      <c r="D137" s="434"/>
      <c r="E137" s="434"/>
      <c r="F137" s="434"/>
      <c r="G137" s="434"/>
      <c r="H137" s="434"/>
      <c r="I137" s="434"/>
    </row>
    <row r="138" spans="1:9">
      <c r="A138" s="434"/>
      <c r="B138" s="434"/>
      <c r="C138" s="434"/>
      <c r="D138" s="434"/>
      <c r="E138" s="434"/>
      <c r="F138" s="434"/>
      <c r="G138" s="434"/>
      <c r="H138" s="434"/>
      <c r="I138" s="434"/>
    </row>
    <row r="139" spans="1:9">
      <c r="A139" s="434"/>
      <c r="B139" s="434"/>
      <c r="C139" s="434"/>
      <c r="D139" s="434"/>
      <c r="E139" s="434"/>
      <c r="F139" s="434"/>
      <c r="G139" s="434"/>
      <c r="H139" s="434"/>
      <c r="I139" s="434"/>
    </row>
    <row r="140" spans="1:9">
      <c r="A140" s="434"/>
      <c r="B140" s="434"/>
      <c r="C140" s="434"/>
      <c r="D140" s="434"/>
      <c r="E140" s="434"/>
      <c r="F140" s="434"/>
      <c r="G140" s="434"/>
      <c r="H140" s="434"/>
      <c r="I140" s="434"/>
    </row>
    <row r="141" spans="1:9">
      <c r="A141" s="434"/>
      <c r="B141" s="434"/>
      <c r="C141" s="434"/>
      <c r="D141" s="434"/>
      <c r="E141" s="434"/>
      <c r="F141" s="434"/>
      <c r="G141" s="434"/>
      <c r="H141" s="434"/>
      <c r="I141" s="434"/>
    </row>
    <row r="142" spans="1:9">
      <c r="A142" s="434"/>
      <c r="B142" s="434"/>
      <c r="C142" s="434"/>
      <c r="D142" s="434"/>
      <c r="E142" s="434"/>
      <c r="F142" s="434"/>
      <c r="G142" s="434"/>
      <c r="H142" s="434"/>
      <c r="I142" s="434"/>
    </row>
    <row r="143" spans="1:9">
      <c r="A143" s="434"/>
      <c r="B143" s="434"/>
      <c r="C143" s="434"/>
      <c r="D143" s="434"/>
      <c r="E143" s="434"/>
      <c r="F143" s="434"/>
      <c r="G143" s="434"/>
      <c r="H143" s="434"/>
      <c r="I143" s="434"/>
    </row>
    <row r="144" spans="1:9">
      <c r="A144" s="434"/>
      <c r="B144" s="434"/>
      <c r="C144" s="434"/>
      <c r="D144" s="434"/>
      <c r="E144" s="434"/>
      <c r="F144" s="434"/>
      <c r="G144" s="434"/>
      <c r="H144" s="434"/>
      <c r="I144" s="434"/>
    </row>
    <row r="145" spans="1:9">
      <c r="A145" s="434"/>
      <c r="B145" s="434"/>
      <c r="C145" s="434"/>
      <c r="D145" s="434"/>
      <c r="E145" s="434"/>
      <c r="F145" s="434"/>
      <c r="G145" s="434"/>
      <c r="H145" s="434"/>
      <c r="I145" s="434"/>
    </row>
    <row r="146" spans="1:9">
      <c r="A146" s="434"/>
      <c r="B146" s="434"/>
      <c r="C146" s="434"/>
      <c r="D146" s="434"/>
      <c r="E146" s="434"/>
      <c r="F146" s="434"/>
      <c r="G146" s="434"/>
      <c r="H146" s="434"/>
      <c r="I146" s="434"/>
    </row>
    <row r="147" spans="1:9">
      <c r="A147" s="434"/>
      <c r="B147" s="434"/>
      <c r="C147" s="434"/>
      <c r="D147" s="434"/>
      <c r="E147" s="434"/>
      <c r="F147" s="434"/>
      <c r="G147" s="434"/>
      <c r="H147" s="434"/>
      <c r="I147" s="434"/>
    </row>
    <row r="148" spans="1:9">
      <c r="A148" s="434"/>
      <c r="B148" s="434"/>
      <c r="C148" s="434"/>
      <c r="D148" s="434"/>
      <c r="E148" s="434"/>
      <c r="F148" s="434"/>
      <c r="G148" s="434"/>
      <c r="H148" s="434"/>
      <c r="I148" s="434"/>
    </row>
    <row r="149" spans="1:9">
      <c r="A149" s="434"/>
      <c r="B149" s="434"/>
      <c r="C149" s="434"/>
      <c r="D149" s="434"/>
      <c r="E149" s="434"/>
      <c r="F149" s="434"/>
      <c r="G149" s="434"/>
      <c r="H149" s="434"/>
      <c r="I149" s="434"/>
    </row>
    <row r="150" spans="1:9">
      <c r="A150" s="434"/>
      <c r="B150" s="434"/>
      <c r="C150" s="434"/>
      <c r="D150" s="434"/>
      <c r="E150" s="434"/>
      <c r="F150" s="434"/>
      <c r="G150" s="434"/>
      <c r="H150" s="434"/>
      <c r="I150" s="434"/>
    </row>
    <row r="151" spans="1:9">
      <c r="A151" s="434"/>
      <c r="B151" s="434"/>
      <c r="C151" s="434"/>
      <c r="D151" s="434"/>
      <c r="E151" s="434"/>
      <c r="F151" s="434"/>
      <c r="G151" s="434"/>
      <c r="H151" s="434"/>
      <c r="I151" s="434"/>
    </row>
    <row r="152" spans="1:9">
      <c r="A152" s="434"/>
      <c r="B152" s="434"/>
      <c r="C152" s="434"/>
      <c r="D152" s="434"/>
      <c r="E152" s="434"/>
      <c r="F152" s="434"/>
      <c r="G152" s="434"/>
      <c r="H152" s="434"/>
      <c r="I152" s="434"/>
    </row>
    <row r="153" spans="1:9">
      <c r="A153" s="434"/>
      <c r="B153" s="434"/>
      <c r="C153" s="434"/>
      <c r="D153" s="434"/>
      <c r="E153" s="434"/>
      <c r="F153" s="434"/>
      <c r="G153" s="434"/>
      <c r="H153" s="434"/>
      <c r="I153" s="434"/>
    </row>
    <row r="154" spans="1:9">
      <c r="A154" s="434"/>
      <c r="B154" s="434"/>
      <c r="C154" s="434"/>
      <c r="D154" s="434"/>
      <c r="E154" s="434"/>
      <c r="F154" s="434"/>
      <c r="G154" s="434"/>
      <c r="H154" s="434"/>
      <c r="I154" s="434"/>
    </row>
    <row r="155" spans="1:9">
      <c r="A155" s="434"/>
      <c r="B155" s="434"/>
      <c r="C155" s="434"/>
      <c r="D155" s="434"/>
      <c r="E155" s="434"/>
      <c r="F155" s="434"/>
      <c r="G155" s="434"/>
      <c r="H155" s="434"/>
      <c r="I155" s="434"/>
    </row>
    <row r="156" spans="1:9">
      <c r="A156" s="434"/>
      <c r="B156" s="434"/>
      <c r="C156" s="434"/>
      <c r="D156" s="434"/>
      <c r="E156" s="434"/>
      <c r="F156" s="434"/>
      <c r="G156" s="434"/>
      <c r="H156" s="434"/>
      <c r="I156" s="434"/>
    </row>
    <row r="157" spans="1:9">
      <c r="A157" s="434"/>
      <c r="B157" s="434"/>
      <c r="C157" s="434"/>
      <c r="D157" s="434"/>
      <c r="E157" s="434"/>
      <c r="F157" s="434"/>
      <c r="G157" s="434"/>
      <c r="H157" s="434"/>
      <c r="I157" s="434"/>
    </row>
    <row r="158" spans="1:9">
      <c r="A158" s="434"/>
      <c r="B158" s="434"/>
      <c r="C158" s="434"/>
      <c r="D158" s="434"/>
      <c r="E158" s="434"/>
      <c r="F158" s="434"/>
      <c r="G158" s="434"/>
      <c r="H158" s="434"/>
      <c r="I158" s="434"/>
    </row>
    <row r="159" spans="1:9">
      <c r="A159" s="434"/>
      <c r="B159" s="434"/>
      <c r="C159" s="434"/>
      <c r="D159" s="434"/>
      <c r="E159" s="434"/>
      <c r="F159" s="434"/>
      <c r="G159" s="434"/>
      <c r="H159" s="434"/>
      <c r="I159" s="434"/>
    </row>
    <row r="160" spans="1:9">
      <c r="A160" s="434"/>
      <c r="B160" s="434"/>
      <c r="C160" s="434"/>
      <c r="D160" s="434"/>
      <c r="E160" s="434"/>
      <c r="F160" s="434"/>
      <c r="G160" s="434"/>
      <c r="H160" s="434"/>
      <c r="I160" s="434"/>
    </row>
    <row r="161" spans="1:9">
      <c r="A161" s="434"/>
      <c r="B161" s="434"/>
      <c r="C161" s="434"/>
      <c r="D161" s="434"/>
      <c r="E161" s="434"/>
      <c r="F161" s="434"/>
      <c r="G161" s="434"/>
      <c r="H161" s="434"/>
      <c r="I161" s="434"/>
    </row>
    <row r="162" spans="1:9">
      <c r="A162" s="434"/>
      <c r="B162" s="434"/>
      <c r="C162" s="434"/>
      <c r="D162" s="434"/>
      <c r="E162" s="434"/>
      <c r="F162" s="434"/>
      <c r="G162" s="434"/>
      <c r="H162" s="434"/>
      <c r="I162" s="434"/>
    </row>
    <row r="163" spans="1:9">
      <c r="A163" s="434"/>
      <c r="B163" s="434"/>
      <c r="C163" s="434"/>
      <c r="D163" s="434"/>
      <c r="E163" s="434"/>
      <c r="F163" s="434"/>
      <c r="G163" s="434"/>
      <c r="H163" s="434"/>
      <c r="I163" s="434"/>
    </row>
    <row r="164" spans="1:9">
      <c r="A164" s="434"/>
      <c r="B164" s="434"/>
      <c r="C164" s="434"/>
      <c r="D164" s="434"/>
      <c r="E164" s="434"/>
      <c r="F164" s="434"/>
      <c r="G164" s="434"/>
      <c r="H164" s="434"/>
      <c r="I164" s="434"/>
    </row>
    <row r="165" spans="1:9">
      <c r="A165" s="434"/>
      <c r="B165" s="434"/>
      <c r="C165" s="434"/>
      <c r="D165" s="434"/>
      <c r="E165" s="434"/>
      <c r="F165" s="434"/>
      <c r="G165" s="434"/>
      <c r="H165" s="434"/>
      <c r="I165" s="434"/>
    </row>
    <row r="166" spans="1:9">
      <c r="A166" s="434"/>
      <c r="B166" s="434"/>
      <c r="C166" s="434"/>
      <c r="D166" s="434"/>
      <c r="E166" s="434"/>
      <c r="F166" s="434"/>
      <c r="G166" s="434"/>
      <c r="H166" s="434"/>
      <c r="I166" s="434"/>
    </row>
    <row r="167" spans="1:9">
      <c r="A167" s="434"/>
      <c r="B167" s="434"/>
      <c r="C167" s="434"/>
      <c r="D167" s="434"/>
      <c r="E167" s="434"/>
      <c r="F167" s="434"/>
      <c r="G167" s="434"/>
      <c r="H167" s="434"/>
      <c r="I167" s="434"/>
    </row>
    <row r="168" spans="1:9">
      <c r="A168" s="434"/>
      <c r="B168" s="434"/>
      <c r="C168" s="434"/>
      <c r="D168" s="434"/>
      <c r="E168" s="434"/>
      <c r="F168" s="434"/>
      <c r="G168" s="434"/>
      <c r="H168" s="434"/>
      <c r="I168" s="434"/>
    </row>
    <row r="169" spans="1:9">
      <c r="A169" s="434"/>
      <c r="B169" s="434"/>
      <c r="C169" s="434"/>
      <c r="D169" s="434"/>
      <c r="E169" s="434"/>
      <c r="F169" s="434"/>
      <c r="G169" s="434"/>
      <c r="H169" s="434"/>
      <c r="I169" s="434"/>
    </row>
    <row r="170" spans="1:9">
      <c r="A170" s="434"/>
      <c r="B170" s="434"/>
      <c r="C170" s="434"/>
      <c r="D170" s="434"/>
      <c r="E170" s="434"/>
      <c r="F170" s="434"/>
      <c r="G170" s="434"/>
      <c r="H170" s="434"/>
      <c r="I170" s="434"/>
    </row>
    <row r="171" spans="1:9">
      <c r="A171" s="434"/>
      <c r="B171" s="434"/>
      <c r="C171" s="434"/>
      <c r="D171" s="434"/>
      <c r="E171" s="434"/>
      <c r="F171" s="434"/>
      <c r="G171" s="434"/>
      <c r="H171" s="434"/>
      <c r="I171" s="434"/>
    </row>
    <row r="172" spans="1:9">
      <c r="A172" s="434"/>
      <c r="B172" s="434"/>
      <c r="C172" s="434"/>
      <c r="D172" s="434"/>
      <c r="E172" s="434"/>
      <c r="F172" s="434"/>
      <c r="G172" s="434"/>
      <c r="H172" s="434"/>
      <c r="I172" s="434"/>
    </row>
    <row r="173" spans="1:9">
      <c r="A173" s="434"/>
      <c r="B173" s="434"/>
      <c r="C173" s="434"/>
      <c r="D173" s="434"/>
      <c r="E173" s="434"/>
      <c r="F173" s="434"/>
      <c r="G173" s="434"/>
      <c r="H173" s="434"/>
      <c r="I173" s="434"/>
    </row>
    <row r="174" spans="1:9">
      <c r="A174" s="434"/>
      <c r="B174" s="434"/>
      <c r="C174" s="434"/>
      <c r="D174" s="434"/>
      <c r="E174" s="434"/>
      <c r="F174" s="434"/>
      <c r="G174" s="434"/>
      <c r="H174" s="434"/>
      <c r="I174" s="434"/>
    </row>
    <row r="175" spans="1:9">
      <c r="A175" s="434"/>
      <c r="B175" s="434"/>
      <c r="C175" s="434"/>
      <c r="D175" s="434"/>
      <c r="E175" s="434"/>
      <c r="F175" s="434"/>
      <c r="G175" s="434"/>
      <c r="H175" s="434"/>
      <c r="I175" s="434"/>
    </row>
    <row r="176" spans="1:9">
      <c r="A176" s="434"/>
      <c r="B176" s="434"/>
      <c r="C176" s="434"/>
      <c r="D176" s="434"/>
      <c r="E176" s="434"/>
      <c r="F176" s="434"/>
      <c r="G176" s="434"/>
      <c r="H176" s="434"/>
      <c r="I176" s="434"/>
    </row>
    <row r="177" spans="1:9">
      <c r="A177" s="434"/>
      <c r="B177" s="434"/>
      <c r="C177" s="434"/>
      <c r="D177" s="434"/>
      <c r="E177" s="434"/>
      <c r="F177" s="434"/>
      <c r="G177" s="434"/>
      <c r="H177" s="434"/>
      <c r="I177" s="434"/>
    </row>
    <row r="178" spans="1:9">
      <c r="A178" s="434"/>
      <c r="B178" s="434"/>
      <c r="C178" s="434"/>
      <c r="D178" s="434"/>
      <c r="E178" s="434"/>
      <c r="F178" s="434"/>
      <c r="G178" s="434"/>
      <c r="H178" s="434"/>
      <c r="I178" s="434"/>
    </row>
    <row r="179" spans="1:9">
      <c r="A179" s="434"/>
      <c r="B179" s="434"/>
      <c r="C179" s="434"/>
      <c r="D179" s="434"/>
      <c r="E179" s="434"/>
      <c r="F179" s="434"/>
      <c r="G179" s="434"/>
      <c r="H179" s="434"/>
      <c r="I179" s="434"/>
    </row>
    <row r="180" spans="1:9">
      <c r="A180" s="434"/>
      <c r="B180" s="434"/>
      <c r="C180" s="434"/>
      <c r="D180" s="434"/>
      <c r="E180" s="434"/>
      <c r="F180" s="434"/>
      <c r="G180" s="434"/>
      <c r="H180" s="434"/>
      <c r="I180" s="434"/>
    </row>
    <row r="181" spans="1:9">
      <c r="A181" s="434"/>
      <c r="B181" s="434"/>
      <c r="C181" s="434"/>
      <c r="D181" s="434"/>
      <c r="E181" s="434"/>
      <c r="F181" s="434"/>
      <c r="G181" s="434"/>
      <c r="H181" s="434"/>
      <c r="I181" s="434"/>
    </row>
    <row r="182" spans="1:9">
      <c r="A182" s="434"/>
      <c r="B182" s="434"/>
      <c r="C182" s="434"/>
      <c r="D182" s="434"/>
      <c r="E182" s="434"/>
      <c r="F182" s="434"/>
      <c r="G182" s="434"/>
      <c r="H182" s="434"/>
      <c r="I182" s="434"/>
    </row>
    <row r="183" spans="1:9">
      <c r="A183" s="434"/>
      <c r="B183" s="434"/>
      <c r="C183" s="434"/>
      <c r="D183" s="434"/>
      <c r="E183" s="434"/>
      <c r="F183" s="434"/>
      <c r="G183" s="434"/>
      <c r="H183" s="434"/>
      <c r="I183" s="434"/>
    </row>
    <row r="184" spans="1:9">
      <c r="A184" s="434"/>
      <c r="B184" s="434"/>
      <c r="C184" s="434"/>
      <c r="D184" s="434"/>
      <c r="E184" s="434"/>
      <c r="F184" s="434"/>
      <c r="G184" s="434"/>
      <c r="H184" s="434"/>
      <c r="I184" s="434"/>
    </row>
    <row r="185" spans="1:9">
      <c r="A185" s="434"/>
      <c r="B185" s="434"/>
      <c r="C185" s="434"/>
      <c r="D185" s="434"/>
      <c r="E185" s="434"/>
      <c r="F185" s="434"/>
      <c r="G185" s="434"/>
      <c r="H185" s="434"/>
      <c r="I185" s="434"/>
    </row>
    <row r="186" spans="1:9">
      <c r="A186" s="434"/>
      <c r="B186" s="434"/>
      <c r="C186" s="434"/>
      <c r="D186" s="434"/>
      <c r="E186" s="434"/>
      <c r="F186" s="434"/>
      <c r="G186" s="434"/>
      <c r="H186" s="434"/>
      <c r="I186" s="434"/>
    </row>
    <row r="187" spans="1:9">
      <c r="A187" s="434"/>
      <c r="B187" s="434"/>
      <c r="C187" s="434"/>
      <c r="D187" s="434"/>
      <c r="E187" s="434"/>
      <c r="F187" s="434"/>
      <c r="G187" s="434"/>
      <c r="H187" s="434"/>
      <c r="I187" s="434"/>
    </row>
    <row r="188" spans="1:9">
      <c r="A188" s="434"/>
      <c r="B188" s="434"/>
      <c r="C188" s="434"/>
      <c r="D188" s="434"/>
      <c r="E188" s="434"/>
      <c r="F188" s="434"/>
      <c r="G188" s="434"/>
      <c r="H188" s="434"/>
      <c r="I188" s="434"/>
    </row>
    <row r="189" spans="1:9">
      <c r="A189" s="434"/>
      <c r="B189" s="434"/>
      <c r="C189" s="434"/>
      <c r="D189" s="434"/>
      <c r="E189" s="434"/>
      <c r="F189" s="434"/>
      <c r="G189" s="434"/>
      <c r="H189" s="434"/>
      <c r="I189" s="434"/>
    </row>
    <row r="190" spans="1:9">
      <c r="A190" s="434"/>
      <c r="B190" s="434"/>
      <c r="C190" s="434"/>
      <c r="D190" s="434"/>
      <c r="E190" s="434"/>
      <c r="F190" s="434"/>
      <c r="G190" s="434"/>
      <c r="H190" s="434"/>
      <c r="I190" s="434"/>
    </row>
    <row r="191" spans="1:9">
      <c r="A191" s="434"/>
      <c r="B191" s="434"/>
      <c r="C191" s="434"/>
      <c r="D191" s="434"/>
      <c r="E191" s="434"/>
      <c r="F191" s="434"/>
      <c r="G191" s="434"/>
      <c r="H191" s="434"/>
      <c r="I191" s="434"/>
    </row>
    <row r="192" spans="1:9">
      <c r="A192" s="434"/>
      <c r="B192" s="434"/>
      <c r="C192" s="434"/>
      <c r="D192" s="434"/>
      <c r="E192" s="434"/>
      <c r="F192" s="434"/>
      <c r="G192" s="434"/>
      <c r="H192" s="434"/>
      <c r="I192" s="434"/>
    </row>
    <row r="193" spans="1:9">
      <c r="A193" s="434"/>
      <c r="B193" s="434"/>
      <c r="C193" s="434"/>
      <c r="D193" s="434"/>
      <c r="E193" s="434"/>
      <c r="F193" s="434"/>
      <c r="G193" s="434"/>
      <c r="H193" s="434"/>
      <c r="I193" s="434"/>
    </row>
    <row r="194" spans="1:9">
      <c r="A194" s="434"/>
      <c r="B194" s="434"/>
      <c r="C194" s="434"/>
      <c r="D194" s="434"/>
      <c r="E194" s="434"/>
      <c r="F194" s="434"/>
      <c r="G194" s="434"/>
      <c r="H194" s="434"/>
      <c r="I194" s="434"/>
    </row>
    <row r="195" spans="1:9">
      <c r="A195" s="434"/>
      <c r="B195" s="434"/>
      <c r="C195" s="434"/>
      <c r="D195" s="434"/>
      <c r="E195" s="434"/>
      <c r="F195" s="434"/>
      <c r="G195" s="434"/>
      <c r="H195" s="434"/>
      <c r="I195" s="434"/>
    </row>
    <row r="196" spans="1:9">
      <c r="A196" s="434"/>
      <c r="B196" s="434"/>
      <c r="C196" s="434"/>
      <c r="D196" s="434"/>
      <c r="E196" s="434"/>
      <c r="F196" s="434"/>
      <c r="G196" s="434"/>
      <c r="H196" s="434"/>
      <c r="I196" s="434"/>
    </row>
    <row r="197" spans="1:9">
      <c r="A197" s="434"/>
      <c r="B197" s="434"/>
      <c r="C197" s="434"/>
      <c r="D197" s="434"/>
      <c r="E197" s="434"/>
      <c r="F197" s="434"/>
      <c r="G197" s="434"/>
      <c r="H197" s="434"/>
      <c r="I197" s="434"/>
    </row>
    <row r="198" spans="1:9">
      <c r="A198" s="434"/>
      <c r="B198" s="434"/>
      <c r="C198" s="434"/>
      <c r="D198" s="434"/>
      <c r="E198" s="434"/>
      <c r="F198" s="434"/>
      <c r="G198" s="434"/>
      <c r="H198" s="434"/>
      <c r="I198" s="434"/>
    </row>
    <row r="199" spans="1:9">
      <c r="A199" s="434"/>
      <c r="B199" s="434"/>
      <c r="C199" s="434"/>
      <c r="D199" s="434"/>
      <c r="E199" s="434"/>
      <c r="F199" s="434"/>
      <c r="G199" s="434"/>
      <c r="H199" s="434"/>
      <c r="I199" s="434"/>
    </row>
    <row r="200" spans="1:9">
      <c r="A200" s="434"/>
      <c r="B200" s="434"/>
      <c r="C200" s="434"/>
      <c r="D200" s="434"/>
      <c r="E200" s="434"/>
      <c r="F200" s="434"/>
      <c r="G200" s="434"/>
      <c r="H200" s="434"/>
      <c r="I200" s="434"/>
    </row>
    <row r="201" spans="1:9">
      <c r="A201" s="434"/>
      <c r="B201" s="434"/>
      <c r="C201" s="434"/>
      <c r="D201" s="434"/>
      <c r="E201" s="434"/>
      <c r="F201" s="434"/>
      <c r="G201" s="434"/>
      <c r="H201" s="434"/>
      <c r="I201" s="434"/>
    </row>
    <row r="202" spans="1:9">
      <c r="A202" s="434"/>
      <c r="B202" s="434"/>
      <c r="C202" s="434"/>
      <c r="D202" s="434"/>
      <c r="E202" s="434"/>
      <c r="F202" s="434"/>
      <c r="G202" s="434"/>
      <c r="H202" s="434"/>
      <c r="I202" s="434"/>
    </row>
    <row r="203" spans="1:9">
      <c r="A203" s="434"/>
      <c r="B203" s="434"/>
      <c r="C203" s="434"/>
      <c r="D203" s="434"/>
      <c r="E203" s="434"/>
      <c r="F203" s="434"/>
      <c r="G203" s="434"/>
      <c r="H203" s="434"/>
      <c r="I203" s="434"/>
    </row>
    <row r="204" spans="1:9">
      <c r="A204" s="434"/>
      <c r="B204" s="434"/>
      <c r="C204" s="434"/>
      <c r="D204" s="434"/>
      <c r="E204" s="434"/>
      <c r="F204" s="434"/>
      <c r="G204" s="434"/>
      <c r="H204" s="434"/>
      <c r="I204" s="434"/>
    </row>
    <row r="205" spans="1:9">
      <c r="A205" s="434"/>
      <c r="B205" s="434"/>
      <c r="C205" s="434"/>
      <c r="D205" s="434"/>
      <c r="E205" s="434"/>
      <c r="F205" s="434"/>
      <c r="G205" s="434"/>
      <c r="H205" s="434"/>
      <c r="I205" s="434"/>
    </row>
    <row r="206" spans="1:9">
      <c r="A206" s="434"/>
      <c r="B206" s="434"/>
      <c r="C206" s="434"/>
      <c r="D206" s="434"/>
      <c r="E206" s="434"/>
      <c r="F206" s="434"/>
      <c r="G206" s="434"/>
      <c r="H206" s="434"/>
      <c r="I206" s="434"/>
    </row>
    <row r="207" spans="1:9">
      <c r="A207" s="434"/>
      <c r="B207" s="434"/>
      <c r="C207" s="434"/>
      <c r="D207" s="434"/>
      <c r="E207" s="434"/>
      <c r="F207" s="434"/>
      <c r="G207" s="434"/>
      <c r="H207" s="434"/>
      <c r="I207" s="434"/>
    </row>
    <row r="208" spans="1:9">
      <c r="A208" s="434"/>
      <c r="B208" s="434"/>
      <c r="C208" s="434"/>
      <c r="D208" s="434"/>
      <c r="E208" s="434"/>
      <c r="F208" s="434"/>
      <c r="G208" s="434"/>
      <c r="H208" s="434"/>
      <c r="I208" s="434"/>
    </row>
    <row r="209" spans="1:9">
      <c r="A209" s="434"/>
      <c r="B209" s="434"/>
      <c r="C209" s="434"/>
      <c r="D209" s="434"/>
      <c r="E209" s="434"/>
      <c r="F209" s="434"/>
      <c r="G209" s="434"/>
      <c r="H209" s="434"/>
      <c r="I209" s="434"/>
    </row>
    <row r="210" spans="1:9">
      <c r="A210" s="434"/>
      <c r="B210" s="434"/>
      <c r="C210" s="434"/>
      <c r="D210" s="434"/>
      <c r="E210" s="434"/>
      <c r="F210" s="434"/>
      <c r="G210" s="434"/>
      <c r="H210" s="434"/>
      <c r="I210" s="434"/>
    </row>
    <row r="211" spans="1:9">
      <c r="A211" s="434"/>
      <c r="B211" s="434"/>
      <c r="C211" s="434"/>
      <c r="D211" s="434"/>
      <c r="E211" s="434"/>
      <c r="F211" s="434"/>
      <c r="G211" s="434"/>
      <c r="H211" s="434"/>
      <c r="I211" s="434"/>
    </row>
    <row r="212" spans="1:9">
      <c r="A212" s="434"/>
      <c r="B212" s="434"/>
      <c r="C212" s="434"/>
      <c r="D212" s="434"/>
      <c r="E212" s="434"/>
      <c r="F212" s="434"/>
      <c r="G212" s="434"/>
      <c r="H212" s="434"/>
      <c r="I212" s="434"/>
    </row>
    <row r="213" spans="1:9">
      <c r="A213" s="434"/>
      <c r="B213" s="434"/>
      <c r="C213" s="434"/>
      <c r="D213" s="434"/>
      <c r="E213" s="434"/>
      <c r="F213" s="434"/>
      <c r="G213" s="434"/>
      <c r="H213" s="434"/>
      <c r="I213" s="434"/>
    </row>
    <row r="214" spans="1:9">
      <c r="A214" s="434"/>
      <c r="B214" s="434"/>
      <c r="C214" s="434"/>
      <c r="D214" s="434"/>
      <c r="E214" s="434"/>
      <c r="F214" s="434"/>
      <c r="G214" s="434"/>
      <c r="H214" s="434"/>
      <c r="I214" s="434"/>
    </row>
    <row r="215" spans="1:9">
      <c r="A215" s="434"/>
      <c r="B215" s="434"/>
      <c r="C215" s="434"/>
      <c r="D215" s="434"/>
      <c r="E215" s="434"/>
      <c r="F215" s="434"/>
      <c r="G215" s="434"/>
      <c r="H215" s="434"/>
      <c r="I215" s="434"/>
    </row>
    <row r="216" spans="1:9">
      <c r="A216" s="434"/>
      <c r="B216" s="434"/>
      <c r="C216" s="434"/>
      <c r="D216" s="434"/>
      <c r="E216" s="434"/>
      <c r="F216" s="434"/>
      <c r="G216" s="434"/>
      <c r="H216" s="434"/>
      <c r="I216" s="434"/>
    </row>
    <row r="217" spans="1:9">
      <c r="A217" s="434"/>
      <c r="B217" s="434"/>
      <c r="C217" s="434"/>
      <c r="D217" s="434"/>
      <c r="E217" s="434"/>
      <c r="F217" s="434"/>
      <c r="G217" s="434"/>
      <c r="H217" s="434"/>
      <c r="I217" s="434"/>
    </row>
    <row r="218" spans="1:9">
      <c r="A218" s="434"/>
      <c r="B218" s="434"/>
      <c r="C218" s="434"/>
      <c r="D218" s="434"/>
      <c r="E218" s="434"/>
      <c r="F218" s="434"/>
      <c r="G218" s="434"/>
      <c r="H218" s="434"/>
      <c r="I218" s="434"/>
    </row>
    <row r="219" spans="1:9">
      <c r="A219" s="434"/>
      <c r="B219" s="434"/>
      <c r="C219" s="434"/>
      <c r="D219" s="434"/>
      <c r="E219" s="434"/>
      <c r="F219" s="434"/>
      <c r="G219" s="434"/>
      <c r="H219" s="434"/>
      <c r="I219" s="434"/>
    </row>
    <row r="220" spans="1:9">
      <c r="A220" s="434"/>
      <c r="B220" s="434"/>
      <c r="C220" s="434"/>
      <c r="D220" s="434"/>
      <c r="E220" s="434"/>
      <c r="F220" s="434"/>
      <c r="G220" s="434"/>
      <c r="H220" s="434"/>
      <c r="I220" s="434"/>
    </row>
    <row r="221" spans="1:9">
      <c r="A221" s="434"/>
      <c r="B221" s="434"/>
      <c r="C221" s="434"/>
      <c r="D221" s="434"/>
      <c r="E221" s="434"/>
      <c r="F221" s="434"/>
      <c r="G221" s="434"/>
      <c r="H221" s="434"/>
      <c r="I221" s="434"/>
    </row>
    <row r="222" spans="1:9">
      <c r="A222" s="434"/>
      <c r="B222" s="434"/>
      <c r="C222" s="434"/>
      <c r="D222" s="434"/>
      <c r="E222" s="434"/>
      <c r="F222" s="434"/>
      <c r="G222" s="434"/>
      <c r="H222" s="434"/>
      <c r="I222" s="434"/>
    </row>
    <row r="223" spans="1:9">
      <c r="A223" s="434"/>
      <c r="B223" s="434"/>
      <c r="C223" s="434"/>
      <c r="D223" s="434"/>
      <c r="E223" s="434"/>
      <c r="F223" s="434"/>
      <c r="G223" s="434"/>
      <c r="H223" s="434"/>
      <c r="I223" s="434"/>
    </row>
    <row r="224" spans="1:9">
      <c r="A224" s="434"/>
      <c r="B224" s="434"/>
      <c r="C224" s="434"/>
      <c r="D224" s="434"/>
      <c r="E224" s="434"/>
      <c r="F224" s="434"/>
      <c r="G224" s="434"/>
      <c r="H224" s="434"/>
      <c r="I224" s="434"/>
    </row>
    <row r="225" spans="1:9">
      <c r="A225" s="434"/>
      <c r="B225" s="434"/>
      <c r="C225" s="434"/>
      <c r="D225" s="434"/>
      <c r="E225" s="434"/>
      <c r="F225" s="434"/>
      <c r="G225" s="434"/>
      <c r="H225" s="434"/>
      <c r="I225" s="434"/>
    </row>
    <row r="226" spans="1:9">
      <c r="A226" s="434"/>
      <c r="B226" s="434"/>
      <c r="C226" s="434"/>
      <c r="D226" s="434"/>
      <c r="E226" s="434"/>
      <c r="F226" s="434"/>
      <c r="G226" s="434"/>
      <c r="H226" s="434"/>
      <c r="I226" s="434"/>
    </row>
    <row r="227" spans="1:9">
      <c r="A227" s="434"/>
      <c r="B227" s="434"/>
      <c r="C227" s="434"/>
      <c r="D227" s="434"/>
      <c r="E227" s="434"/>
      <c r="F227" s="434"/>
      <c r="G227" s="434"/>
      <c r="H227" s="434"/>
      <c r="I227" s="434"/>
    </row>
    <row r="228" spans="1:9">
      <c r="A228" s="434"/>
      <c r="B228" s="434"/>
      <c r="C228" s="434"/>
      <c r="D228" s="434"/>
      <c r="E228" s="434"/>
      <c r="F228" s="434"/>
      <c r="G228" s="434"/>
      <c r="H228" s="434"/>
      <c r="I228" s="434"/>
    </row>
    <row r="229" spans="1:9">
      <c r="A229" s="434"/>
      <c r="B229" s="434"/>
      <c r="C229" s="434"/>
      <c r="D229" s="434"/>
      <c r="E229" s="434"/>
      <c r="F229" s="434"/>
      <c r="G229" s="434"/>
      <c r="H229" s="434"/>
      <c r="I229" s="434"/>
    </row>
    <row r="230" spans="1:9">
      <c r="A230" s="434"/>
      <c r="B230" s="434"/>
      <c r="C230" s="434"/>
      <c r="D230" s="434"/>
      <c r="E230" s="434"/>
      <c r="F230" s="434"/>
      <c r="G230" s="434"/>
      <c r="H230" s="434"/>
      <c r="I230" s="434"/>
    </row>
    <row r="231" spans="1:9">
      <c r="A231" s="434"/>
      <c r="B231" s="434"/>
      <c r="C231" s="434"/>
      <c r="D231" s="434"/>
      <c r="E231" s="434"/>
      <c r="F231" s="434"/>
      <c r="G231" s="434"/>
      <c r="H231" s="434"/>
      <c r="I231" s="434"/>
    </row>
    <row r="232" spans="1:9">
      <c r="A232" s="434"/>
      <c r="B232" s="434"/>
      <c r="C232" s="434"/>
      <c r="D232" s="434"/>
      <c r="E232" s="434"/>
      <c r="F232" s="434"/>
      <c r="G232" s="434"/>
      <c r="H232" s="434"/>
      <c r="I232" s="434"/>
    </row>
    <row r="233" spans="1:9">
      <c r="A233" s="434"/>
      <c r="B233" s="434"/>
      <c r="C233" s="434"/>
      <c r="D233" s="434"/>
      <c r="E233" s="434"/>
      <c r="F233" s="434"/>
      <c r="G233" s="434"/>
      <c r="H233" s="434"/>
      <c r="I233" s="434"/>
    </row>
    <row r="234" spans="1:9">
      <c r="A234" s="434"/>
      <c r="B234" s="434"/>
      <c r="C234" s="434"/>
      <c r="D234" s="434"/>
      <c r="E234" s="434"/>
      <c r="F234" s="434"/>
      <c r="G234" s="434"/>
      <c r="H234" s="434"/>
      <c r="I234" s="434"/>
    </row>
    <row r="235" spans="1:9">
      <c r="A235" s="434"/>
      <c r="B235" s="434"/>
      <c r="C235" s="434"/>
      <c r="D235" s="434"/>
      <c r="E235" s="434"/>
      <c r="F235" s="434"/>
      <c r="G235" s="434"/>
      <c r="H235" s="434"/>
      <c r="I235" s="434"/>
    </row>
    <row r="236" spans="1:9">
      <c r="A236" s="434"/>
      <c r="B236" s="434"/>
      <c r="C236" s="434"/>
      <c r="D236" s="434"/>
      <c r="E236" s="434"/>
      <c r="F236" s="434"/>
      <c r="G236" s="434"/>
      <c r="H236" s="434"/>
      <c r="I236" s="434"/>
    </row>
    <row r="237" spans="1:9">
      <c r="A237" s="434"/>
      <c r="B237" s="434"/>
      <c r="C237" s="434"/>
      <c r="D237" s="434"/>
      <c r="E237" s="434"/>
      <c r="F237" s="434"/>
      <c r="G237" s="434"/>
      <c r="H237" s="434"/>
      <c r="I237" s="434"/>
    </row>
    <row r="238" spans="1:9">
      <c r="A238" s="434"/>
      <c r="B238" s="434"/>
      <c r="C238" s="434"/>
      <c r="D238" s="434"/>
      <c r="E238" s="434"/>
      <c r="F238" s="434"/>
      <c r="G238" s="434"/>
      <c r="H238" s="434"/>
      <c r="I238" s="434"/>
    </row>
    <row r="239" spans="1:9">
      <c r="A239" s="434"/>
      <c r="B239" s="434"/>
      <c r="C239" s="434"/>
      <c r="D239" s="434"/>
      <c r="E239" s="434"/>
      <c r="F239" s="434"/>
      <c r="G239" s="434"/>
      <c r="H239" s="434"/>
      <c r="I239" s="434"/>
    </row>
    <row r="240" spans="1:9">
      <c r="A240" s="434"/>
      <c r="B240" s="434"/>
      <c r="C240" s="434"/>
      <c r="D240" s="434"/>
      <c r="E240" s="434"/>
      <c r="F240" s="434"/>
      <c r="G240" s="434"/>
      <c r="H240" s="434"/>
      <c r="I240" s="434"/>
    </row>
    <row r="241" spans="1:9">
      <c r="A241" s="434"/>
      <c r="B241" s="434"/>
      <c r="C241" s="434"/>
      <c r="D241" s="434"/>
      <c r="E241" s="434"/>
      <c r="F241" s="434"/>
      <c r="G241" s="434"/>
      <c r="H241" s="434"/>
      <c r="I241" s="434"/>
    </row>
    <row r="242" spans="1:9">
      <c r="A242" s="434"/>
      <c r="B242" s="434"/>
      <c r="C242" s="434"/>
      <c r="D242" s="434"/>
      <c r="E242" s="434"/>
      <c r="F242" s="434"/>
      <c r="G242" s="434"/>
      <c r="H242" s="434"/>
      <c r="I242" s="434"/>
    </row>
    <row r="243" spans="1:9">
      <c r="A243" s="434"/>
      <c r="B243" s="434"/>
      <c r="C243" s="434"/>
      <c r="D243" s="434"/>
      <c r="E243" s="434"/>
      <c r="F243" s="434"/>
      <c r="G243" s="434"/>
      <c r="H243" s="434"/>
      <c r="I243" s="434"/>
    </row>
    <row r="244" spans="1:9">
      <c r="A244" s="434"/>
      <c r="B244" s="434"/>
      <c r="C244" s="434"/>
      <c r="D244" s="434"/>
      <c r="E244" s="434"/>
      <c r="F244" s="434"/>
      <c r="G244" s="434"/>
      <c r="H244" s="434"/>
      <c r="I244" s="434"/>
    </row>
    <row r="245" spans="1:9">
      <c r="A245" s="434"/>
      <c r="B245" s="434"/>
      <c r="C245" s="434"/>
      <c r="D245" s="434"/>
      <c r="E245" s="434"/>
      <c r="F245" s="434"/>
      <c r="G245" s="434"/>
      <c r="H245" s="434"/>
      <c r="I245" s="434"/>
    </row>
    <row r="246" spans="1:9">
      <c r="A246" s="434"/>
      <c r="B246" s="434"/>
      <c r="C246" s="434"/>
      <c r="D246" s="434"/>
      <c r="E246" s="434"/>
      <c r="F246" s="434"/>
      <c r="G246" s="434"/>
      <c r="H246" s="434"/>
      <c r="I246" s="434"/>
    </row>
    <row r="247" spans="1:9">
      <c r="A247" s="434"/>
      <c r="B247" s="434"/>
      <c r="C247" s="434"/>
      <c r="D247" s="434"/>
      <c r="E247" s="434"/>
      <c r="F247" s="434"/>
      <c r="G247" s="434"/>
      <c r="H247" s="434"/>
      <c r="I247" s="434"/>
    </row>
    <row r="248" spans="1:9">
      <c r="A248" s="434"/>
      <c r="B248" s="434"/>
      <c r="C248" s="434"/>
      <c r="D248" s="434"/>
      <c r="E248" s="434"/>
      <c r="F248" s="434"/>
      <c r="G248" s="434"/>
      <c r="H248" s="434"/>
      <c r="I248" s="434"/>
    </row>
    <row r="249" spans="1:9">
      <c r="A249" s="434"/>
      <c r="B249" s="434"/>
      <c r="C249" s="434"/>
      <c r="D249" s="434"/>
      <c r="E249" s="434"/>
      <c r="F249" s="434"/>
      <c r="G249" s="434"/>
      <c r="H249" s="434"/>
      <c r="I249" s="434"/>
    </row>
    <row r="250" spans="1:9">
      <c r="A250" s="434"/>
      <c r="B250" s="434"/>
      <c r="C250" s="434"/>
      <c r="D250" s="434"/>
      <c r="E250" s="434"/>
      <c r="F250" s="434"/>
      <c r="G250" s="434"/>
      <c r="H250" s="434"/>
      <c r="I250" s="434"/>
    </row>
    <row r="251" spans="1:9">
      <c r="A251" s="434"/>
      <c r="B251" s="434"/>
      <c r="C251" s="434"/>
      <c r="D251" s="434"/>
      <c r="E251" s="434"/>
      <c r="F251" s="434"/>
      <c r="G251" s="434"/>
      <c r="H251" s="434"/>
      <c r="I251" s="434"/>
    </row>
    <row r="252" spans="1:9">
      <c r="A252" s="434"/>
      <c r="B252" s="434"/>
      <c r="C252" s="434"/>
      <c r="D252" s="434"/>
      <c r="E252" s="434"/>
      <c r="F252" s="434"/>
      <c r="G252" s="434"/>
      <c r="H252" s="434"/>
      <c r="I252" s="434"/>
    </row>
    <row r="253" spans="1:9">
      <c r="A253" s="434"/>
      <c r="B253" s="434"/>
      <c r="C253" s="434"/>
      <c r="D253" s="434"/>
      <c r="E253" s="434"/>
      <c r="F253" s="434"/>
      <c r="G253" s="434"/>
      <c r="H253" s="434"/>
      <c r="I253" s="434"/>
    </row>
    <row r="254" spans="1:9">
      <c r="A254" s="434"/>
      <c r="B254" s="434"/>
      <c r="C254" s="434"/>
      <c r="D254" s="434"/>
      <c r="E254" s="434"/>
      <c r="F254" s="434"/>
      <c r="G254" s="434"/>
      <c r="H254" s="434"/>
      <c r="I254" s="434"/>
    </row>
    <row r="255" spans="1:9">
      <c r="A255" s="434"/>
      <c r="B255" s="434"/>
      <c r="C255" s="434"/>
      <c r="D255" s="434"/>
      <c r="E255" s="434"/>
      <c r="F255" s="434"/>
      <c r="G255" s="434"/>
      <c r="H255" s="434"/>
      <c r="I255" s="434"/>
    </row>
    <row r="256" spans="1:9">
      <c r="A256" s="434"/>
      <c r="B256" s="434"/>
      <c r="C256" s="434"/>
      <c r="D256" s="434"/>
      <c r="E256" s="434"/>
      <c r="F256" s="434"/>
      <c r="G256" s="434"/>
      <c r="H256" s="434"/>
      <c r="I256" s="434"/>
    </row>
    <row r="257" spans="1:9">
      <c r="A257" s="434"/>
      <c r="B257" s="434"/>
      <c r="C257" s="434"/>
      <c r="D257" s="434"/>
      <c r="E257" s="434"/>
      <c r="F257" s="434"/>
      <c r="G257" s="434"/>
      <c r="H257" s="434"/>
      <c r="I257" s="434"/>
    </row>
    <row r="258" spans="1:9">
      <c r="A258" s="434"/>
      <c r="B258" s="434"/>
      <c r="C258" s="434"/>
      <c r="D258" s="434"/>
      <c r="E258" s="434"/>
      <c r="F258" s="434"/>
      <c r="G258" s="434"/>
      <c r="H258" s="434"/>
      <c r="I258" s="434"/>
    </row>
    <row r="259" spans="1:9">
      <c r="A259" s="434"/>
      <c r="B259" s="434"/>
      <c r="C259" s="434"/>
      <c r="D259" s="434"/>
      <c r="E259" s="434"/>
      <c r="F259" s="434"/>
      <c r="G259" s="434"/>
      <c r="H259" s="434"/>
      <c r="I259" s="434"/>
    </row>
    <row r="260" spans="1:9">
      <c r="A260" s="434"/>
      <c r="B260" s="434"/>
      <c r="C260" s="434"/>
      <c r="D260" s="434"/>
      <c r="E260" s="434"/>
      <c r="F260" s="434"/>
      <c r="G260" s="434"/>
      <c r="H260" s="434"/>
      <c r="I260" s="434"/>
    </row>
    <row r="261" spans="1:9">
      <c r="A261" s="434"/>
      <c r="B261" s="434"/>
      <c r="C261" s="434"/>
      <c r="D261" s="434"/>
      <c r="E261" s="434"/>
      <c r="F261" s="434"/>
      <c r="G261" s="434"/>
      <c r="H261" s="434"/>
      <c r="I261" s="434"/>
    </row>
    <row r="262" spans="1:9">
      <c r="A262" s="434"/>
      <c r="B262" s="434"/>
      <c r="C262" s="434"/>
      <c r="D262" s="434"/>
      <c r="E262" s="434"/>
      <c r="F262" s="434"/>
      <c r="G262" s="434"/>
      <c r="H262" s="434"/>
      <c r="I262" s="434"/>
    </row>
    <row r="263" spans="1:9">
      <c r="A263" s="434"/>
      <c r="B263" s="434"/>
      <c r="C263" s="434"/>
      <c r="D263" s="434"/>
      <c r="E263" s="434"/>
      <c r="F263" s="434"/>
      <c r="G263" s="434"/>
      <c r="H263" s="434"/>
      <c r="I263" s="434"/>
    </row>
    <row r="264" spans="1:9">
      <c r="A264" s="434"/>
      <c r="B264" s="434"/>
      <c r="C264" s="434"/>
      <c r="D264" s="434"/>
      <c r="E264" s="434"/>
      <c r="F264" s="434"/>
      <c r="G264" s="434"/>
      <c r="H264" s="434"/>
      <c r="I264" s="434"/>
    </row>
    <row r="265" spans="1:9">
      <c r="A265" s="434"/>
      <c r="B265" s="434"/>
      <c r="C265" s="434"/>
      <c r="D265" s="434"/>
      <c r="E265" s="434"/>
      <c r="F265" s="434"/>
      <c r="G265" s="434"/>
      <c r="H265" s="434"/>
      <c r="I265" s="434"/>
    </row>
    <row r="266" spans="1:9">
      <c r="A266" s="434"/>
      <c r="B266" s="434"/>
      <c r="C266" s="434"/>
      <c r="D266" s="434"/>
      <c r="E266" s="434"/>
      <c r="F266" s="434"/>
      <c r="G266" s="434"/>
      <c r="H266" s="434"/>
      <c r="I266" s="434"/>
    </row>
    <row r="267" spans="1:9">
      <c r="A267" s="434"/>
      <c r="B267" s="434"/>
      <c r="C267" s="434"/>
      <c r="D267" s="434"/>
      <c r="E267" s="434"/>
      <c r="F267" s="434"/>
      <c r="G267" s="434"/>
      <c r="H267" s="434"/>
      <c r="I267" s="434"/>
    </row>
    <row r="268" spans="1:9">
      <c r="A268" s="434"/>
      <c r="B268" s="434"/>
      <c r="C268" s="434"/>
      <c r="D268" s="434"/>
      <c r="E268" s="434"/>
      <c r="F268" s="434"/>
      <c r="G268" s="434"/>
      <c r="H268" s="434"/>
      <c r="I268" s="434"/>
    </row>
    <row r="269" spans="1:9">
      <c r="A269" s="434"/>
      <c r="B269" s="434"/>
      <c r="C269" s="434"/>
      <c r="D269" s="434"/>
      <c r="E269" s="434"/>
      <c r="F269" s="434"/>
      <c r="G269" s="434"/>
      <c r="H269" s="434"/>
      <c r="I269" s="434"/>
    </row>
    <row r="270" spans="1:9">
      <c r="A270" s="434"/>
      <c r="B270" s="434"/>
      <c r="C270" s="434"/>
      <c r="D270" s="434"/>
      <c r="E270" s="434"/>
      <c r="F270" s="434"/>
      <c r="G270" s="434"/>
      <c r="H270" s="434"/>
      <c r="I270" s="434"/>
    </row>
    <row r="271" spans="1:9">
      <c r="A271" s="434"/>
      <c r="B271" s="434"/>
      <c r="C271" s="434"/>
      <c r="D271" s="434"/>
      <c r="E271" s="434"/>
      <c r="F271" s="434"/>
      <c r="G271" s="434"/>
      <c r="H271" s="434"/>
      <c r="I271" s="434"/>
    </row>
    <row r="272" spans="1:9">
      <c r="A272" s="434"/>
      <c r="B272" s="434"/>
      <c r="C272" s="434"/>
      <c r="D272" s="434"/>
      <c r="E272" s="434"/>
      <c r="F272" s="434"/>
      <c r="G272" s="434"/>
      <c r="H272" s="434"/>
      <c r="I272" s="434"/>
    </row>
    <row r="273" spans="1:9">
      <c r="A273" s="434"/>
      <c r="B273" s="434"/>
      <c r="C273" s="434"/>
      <c r="D273" s="434"/>
      <c r="E273" s="434"/>
      <c r="F273" s="434"/>
      <c r="G273" s="434"/>
      <c r="H273" s="434"/>
      <c r="I273" s="434"/>
    </row>
    <row r="274" spans="1:9">
      <c r="A274" s="434"/>
      <c r="B274" s="434"/>
      <c r="C274" s="434"/>
      <c r="D274" s="434"/>
      <c r="E274" s="434"/>
      <c r="F274" s="434"/>
      <c r="G274" s="434"/>
      <c r="H274" s="434"/>
      <c r="I274" s="434"/>
    </row>
    <row r="275" spans="1:9">
      <c r="A275" s="434"/>
      <c r="B275" s="434"/>
      <c r="C275" s="434"/>
      <c r="D275" s="434"/>
      <c r="E275" s="434"/>
      <c r="F275" s="434"/>
      <c r="G275" s="434"/>
      <c r="H275" s="434"/>
      <c r="I275" s="434"/>
    </row>
    <row r="276" spans="1:9">
      <c r="A276" s="434"/>
      <c r="B276" s="434"/>
      <c r="C276" s="434"/>
      <c r="D276" s="434"/>
      <c r="E276" s="434"/>
      <c r="F276" s="434"/>
      <c r="G276" s="434"/>
      <c r="H276" s="434"/>
      <c r="I276" s="434"/>
    </row>
    <row r="277" spans="1:9">
      <c r="A277" s="434"/>
      <c r="B277" s="434"/>
      <c r="C277" s="434"/>
      <c r="D277" s="434"/>
      <c r="E277" s="434"/>
      <c r="F277" s="434"/>
      <c r="G277" s="434"/>
      <c r="H277" s="434"/>
      <c r="I277" s="434"/>
    </row>
    <row r="278" spans="1:9">
      <c r="A278" s="434"/>
      <c r="B278" s="434"/>
      <c r="C278" s="434"/>
      <c r="D278" s="434"/>
      <c r="E278" s="434"/>
      <c r="F278" s="434"/>
      <c r="G278" s="434"/>
      <c r="H278" s="434"/>
      <c r="I278" s="434"/>
    </row>
    <row r="279" spans="1:9">
      <c r="A279" s="434"/>
      <c r="B279" s="434"/>
      <c r="C279" s="434"/>
      <c r="D279" s="434"/>
      <c r="E279" s="434"/>
      <c r="F279" s="434"/>
      <c r="G279" s="434"/>
      <c r="H279" s="434"/>
      <c r="I279" s="434"/>
    </row>
    <row r="280" spans="1:9">
      <c r="A280" s="434"/>
      <c r="B280" s="434"/>
      <c r="C280" s="434"/>
      <c r="D280" s="434"/>
      <c r="E280" s="434"/>
      <c r="F280" s="434"/>
      <c r="G280" s="434"/>
      <c r="H280" s="434"/>
      <c r="I280" s="434"/>
    </row>
    <row r="281" spans="1:9">
      <c r="A281" s="434"/>
      <c r="B281" s="434"/>
      <c r="C281" s="434"/>
      <c r="D281" s="434"/>
      <c r="E281" s="434"/>
      <c r="F281" s="434"/>
      <c r="G281" s="434"/>
      <c r="H281" s="434"/>
      <c r="I281" s="434"/>
    </row>
  </sheetData>
  <protectedRanges>
    <protectedRange sqref="F16:F19 E20" name="Range5_1"/>
  </protectedRanges>
  <mergeCells count="69">
    <mergeCell ref="F74:G74"/>
    <mergeCell ref="L74:M74"/>
    <mergeCell ref="F75:G75"/>
    <mergeCell ref="L75:M75"/>
    <mergeCell ref="F42:G42"/>
    <mergeCell ref="L42:M42"/>
    <mergeCell ref="F43:G43"/>
    <mergeCell ref="L43:M43"/>
    <mergeCell ref="F44:G44"/>
    <mergeCell ref="L44:M44"/>
    <mergeCell ref="F45:G45"/>
    <mergeCell ref="L45:M45"/>
    <mergeCell ref="F46:G46"/>
    <mergeCell ref="L46:M46"/>
    <mergeCell ref="F47:G47"/>
    <mergeCell ref="L47:M47"/>
    <mergeCell ref="B3:N3"/>
    <mergeCell ref="B4:N4"/>
    <mergeCell ref="E8:F8"/>
    <mergeCell ref="B29:E29"/>
    <mergeCell ref="L41:M41"/>
    <mergeCell ref="F48:G48"/>
    <mergeCell ref="L48:M48"/>
    <mergeCell ref="F49:G49"/>
    <mergeCell ref="L49:M49"/>
    <mergeCell ref="F50:G50"/>
    <mergeCell ref="L50:M50"/>
    <mergeCell ref="L57:M57"/>
    <mergeCell ref="L58:M58"/>
    <mergeCell ref="L59:M59"/>
    <mergeCell ref="F66:G66"/>
    <mergeCell ref="L66:M66"/>
    <mergeCell ref="L52:M52"/>
    <mergeCell ref="F55:G55"/>
    <mergeCell ref="L55:M55"/>
    <mergeCell ref="F56:G56"/>
    <mergeCell ref="L56:M56"/>
    <mergeCell ref="F51:G51"/>
    <mergeCell ref="L51:M51"/>
    <mergeCell ref="L73:M73"/>
    <mergeCell ref="F68:G68"/>
    <mergeCell ref="L68:M68"/>
    <mergeCell ref="F69:G69"/>
    <mergeCell ref="L69:M69"/>
    <mergeCell ref="F70:G70"/>
    <mergeCell ref="L70:M70"/>
    <mergeCell ref="F53:G53"/>
    <mergeCell ref="L53:M53"/>
    <mergeCell ref="F54:G54"/>
    <mergeCell ref="L54:M54"/>
    <mergeCell ref="F67:G67"/>
    <mergeCell ref="L67:M67"/>
    <mergeCell ref="F52:G52"/>
    <mergeCell ref="D2:F2"/>
    <mergeCell ref="M2:O2"/>
    <mergeCell ref="L79:M79"/>
    <mergeCell ref="L80:M80"/>
    <mergeCell ref="L81:M81"/>
    <mergeCell ref="F76:G76"/>
    <mergeCell ref="L76:M76"/>
    <mergeCell ref="F77:G77"/>
    <mergeCell ref="L77:M77"/>
    <mergeCell ref="F78:G78"/>
    <mergeCell ref="L78:M78"/>
    <mergeCell ref="F71:G71"/>
    <mergeCell ref="L71:M71"/>
    <mergeCell ref="F72:G72"/>
    <mergeCell ref="L72:M72"/>
    <mergeCell ref="F73:G73"/>
  </mergeCells>
  <pageMargins left="0.59055118110236204" right="0.39370078740157499" top="0.5" bottom="0.5" header="0" footer="0"/>
  <pageSetup paperSize="9" orientation="portrait" blackAndWhite="1" horizontalDpi="300" verticalDpi="300" r:id="rId1"/>
  <headerFooter alignWithMargins="0">
    <oddFooter>&amp;Rต้นทุนCON. &amp;P / &amp;N</oddFooter>
  </headerFooter>
  <rowBreaks count="1" manualBreakCount="1">
    <brk id="4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7281" r:id="rId4" name="Drop Down 1">
              <controlPr defaultSize="0" print="0" autoLine="0" autoPict="0">
                <anchor moveWithCells="1">
                  <from>
                    <xdr:col>4</xdr:col>
                    <xdr:colOff>276225</xdr:colOff>
                    <xdr:row>64</xdr:row>
                    <xdr:rowOff>9525</xdr:rowOff>
                  </from>
                  <to>
                    <xdr:col>5</xdr:col>
                    <xdr:colOff>428625</xdr:colOff>
                    <xdr:row>64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2" r:id="rId5" name="Drop Down 2">
              <controlPr defaultSize="0" print="0" autoLine="0" autoPict="0">
                <anchor moveWithCells="1">
                  <from>
                    <xdr:col>4</xdr:col>
                    <xdr:colOff>304800</xdr:colOff>
                    <xdr:row>62</xdr:row>
                    <xdr:rowOff>9525</xdr:rowOff>
                  </from>
                  <to>
                    <xdr:col>6</xdr:col>
                    <xdr:colOff>9525</xdr:colOff>
                    <xdr:row>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3" r:id="rId6" name="Drop Down 3">
              <controlPr defaultSize="0" print="0" autoLine="0" autoPict="0">
                <anchor moveWithCells="1">
                  <from>
                    <xdr:col>4</xdr:col>
                    <xdr:colOff>352425</xdr:colOff>
                    <xdr:row>60</xdr:row>
                    <xdr:rowOff>47625</xdr:rowOff>
                  </from>
                  <to>
                    <xdr:col>6</xdr:col>
                    <xdr:colOff>123825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4" r:id="rId7" name="Drop Down 4">
              <controlPr defaultSize="0" print="0" autoLine="0" autoPict="0">
                <anchor moveWithCells="1">
                  <from>
                    <xdr:col>1</xdr:col>
                    <xdr:colOff>200025</xdr:colOff>
                    <xdr:row>40</xdr:row>
                    <xdr:rowOff>19050</xdr:rowOff>
                  </from>
                  <to>
                    <xdr:col>4</xdr:col>
                    <xdr:colOff>266700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5" r:id="rId8" name="Drop Down 5">
              <controlPr defaultSize="0" print="0" autoLine="0" autoPict="0">
                <anchor moveWithCells="1">
                  <from>
                    <xdr:col>5</xdr:col>
                    <xdr:colOff>266700</xdr:colOff>
                    <xdr:row>40</xdr:row>
                    <xdr:rowOff>38100</xdr:rowOff>
                  </from>
                  <to>
                    <xdr:col>7</xdr:col>
                    <xdr:colOff>438150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7286" r:id="rId9" name="Drop Down 6">
              <controlPr defaultSize="0" print="0" autoLine="0" autoPict="0">
                <anchor moveWithCells="1">
                  <from>
                    <xdr:col>8</xdr:col>
                    <xdr:colOff>38100</xdr:colOff>
                    <xdr:row>40</xdr:row>
                    <xdr:rowOff>28575</xdr:rowOff>
                  </from>
                  <to>
                    <xdr:col>9</xdr:col>
                    <xdr:colOff>152400</xdr:colOff>
                    <xdr:row>40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</sheetPr>
  <dimension ref="A1:DL169"/>
  <sheetViews>
    <sheetView zoomScale="120" zoomScaleNormal="120" workbookViewId="0">
      <selection activeCell="P6" sqref="P6"/>
    </sheetView>
  </sheetViews>
  <sheetFormatPr defaultColWidth="9.140625" defaultRowHeight="21.75"/>
  <cols>
    <col min="1" max="1" width="2.5703125" style="434" customWidth="1"/>
    <col min="2" max="2" width="12.85546875" style="434" customWidth="1"/>
    <col min="3" max="3" width="12.7109375" style="434" customWidth="1"/>
    <col min="4" max="4" width="6.140625" style="434" customWidth="1"/>
    <col min="5" max="5" width="2.28515625" style="434" customWidth="1"/>
    <col min="6" max="6" width="7.5703125" style="434" customWidth="1"/>
    <col min="7" max="7" width="7" style="434" customWidth="1"/>
    <col min="8" max="8" width="9" style="434" customWidth="1"/>
    <col min="9" max="9" width="2.140625" style="434" customWidth="1"/>
    <col min="10" max="10" width="7.42578125" style="434" customWidth="1"/>
    <col min="11" max="11" width="8.5703125" style="434" customWidth="1"/>
    <col min="12" max="12" width="4.7109375" style="434" customWidth="1"/>
    <col min="13" max="13" width="2.7109375" style="434" customWidth="1"/>
    <col min="14" max="14" width="12" style="434" customWidth="1"/>
    <col min="15" max="15" width="9.140625" style="434" customWidth="1"/>
    <col min="16" max="16" width="5.7109375" style="271" customWidth="1"/>
    <col min="17" max="17" width="10" style="271" bestFit="1" customWidth="1"/>
    <col min="18" max="18" width="3.7109375" style="485" customWidth="1"/>
    <col min="19" max="19" width="20.42578125" style="271" bestFit="1" customWidth="1"/>
    <col min="20" max="21" width="9.140625" style="271"/>
    <col min="22" max="22" width="9" style="271" customWidth="1"/>
    <col min="23" max="23" width="2.42578125" style="271" bestFit="1" customWidth="1"/>
    <col min="24" max="24" width="27.28515625" style="271" bestFit="1" customWidth="1"/>
    <col min="25" max="25" width="9.140625" style="271"/>
    <col min="26" max="26" width="8.7109375" style="271" customWidth="1"/>
    <col min="27" max="27" width="8.5703125" style="271" customWidth="1"/>
    <col min="28" max="29" width="9.140625" style="271"/>
    <col min="30" max="30" width="9.5703125" style="271" bestFit="1" customWidth="1"/>
    <col min="31" max="31" width="9.7109375" style="271" bestFit="1" customWidth="1"/>
    <col min="32" max="32" width="9.42578125" style="271" bestFit="1" customWidth="1"/>
    <col min="33" max="33" width="11.85546875" style="268" bestFit="1" customWidth="1"/>
    <col min="34" max="41" width="9.140625" style="271"/>
    <col min="42" max="42" width="6.7109375" style="271" bestFit="1" customWidth="1"/>
    <col min="43" max="16384" width="9.140625" style="271"/>
  </cols>
  <sheetData>
    <row r="1" spans="1:62" s="270" customFormat="1" ht="27.75">
      <c r="A1" s="465"/>
      <c r="B1" s="466"/>
      <c r="C1" s="467"/>
      <c r="D1" s="468" t="s">
        <v>399</v>
      </c>
      <c r="E1" s="469"/>
      <c r="F1" s="470"/>
      <c r="G1" s="471"/>
      <c r="H1" s="472"/>
      <c r="I1" s="473"/>
      <c r="J1" s="474"/>
      <c r="K1" s="475"/>
      <c r="L1" s="476"/>
      <c r="M1" s="477"/>
      <c r="N1" s="478"/>
      <c r="O1" s="479"/>
      <c r="R1" s="480"/>
    </row>
    <row r="2" spans="1:62" s="270" customFormat="1">
      <c r="A2" s="465"/>
      <c r="B2" s="466"/>
      <c r="C2" s="472"/>
      <c r="D2" s="2712" t="s">
        <v>400</v>
      </c>
      <c r="E2" s="2712"/>
      <c r="F2" s="2712"/>
      <c r="G2" s="481" t="s">
        <v>2046</v>
      </c>
      <c r="H2" s="481"/>
      <c r="I2" s="481"/>
      <c r="J2" s="482"/>
      <c r="K2" s="482"/>
      <c r="L2" s="482"/>
      <c r="M2" s="482"/>
      <c r="N2" s="2713">
        <v>42299</v>
      </c>
      <c r="O2" s="2713"/>
      <c r="R2" s="480"/>
    </row>
    <row r="3" spans="1:62" s="483" customFormat="1">
      <c r="A3" s="2739" t="s">
        <v>609</v>
      </c>
      <c r="B3" s="2739"/>
      <c r="C3" s="2739"/>
      <c r="D3" s="2739"/>
      <c r="E3" s="2739"/>
      <c r="F3" s="2739"/>
      <c r="G3" s="2739"/>
      <c r="H3" s="2739"/>
      <c r="I3" s="2739"/>
      <c r="J3" s="2739"/>
      <c r="K3" s="2739"/>
      <c r="L3" s="2739"/>
      <c r="M3" s="2739"/>
      <c r="N3" s="2739"/>
      <c r="O3" s="2739"/>
      <c r="R3" s="484"/>
    </row>
    <row r="4" spans="1:62">
      <c r="A4" s="2740" t="s">
        <v>402</v>
      </c>
      <c r="B4" s="2740"/>
      <c r="C4" s="2740"/>
      <c r="D4" s="2740"/>
      <c r="E4" s="2740"/>
      <c r="F4" s="2740"/>
      <c r="G4" s="2740"/>
      <c r="H4" s="2740"/>
      <c r="I4" s="2740"/>
      <c r="J4" s="2740"/>
      <c r="K4" s="2740"/>
      <c r="L4" s="2740"/>
      <c r="M4" s="2740"/>
      <c r="N4" s="2740"/>
      <c r="O4" s="2740"/>
    </row>
    <row r="5" spans="1:62">
      <c r="B5" s="486"/>
      <c r="C5" s="486"/>
      <c r="D5" s="486"/>
      <c r="E5" s="486"/>
      <c r="F5" s="486"/>
      <c r="G5" s="486"/>
      <c r="H5" s="486"/>
      <c r="I5" s="486"/>
      <c r="J5" s="487"/>
      <c r="K5" s="488" t="str">
        <f>+'1.ต้นทุนถนน AC.'!J5</f>
        <v>วันที่ 10  พฤศจิกายน พ.ศ. 2558</v>
      </c>
      <c r="L5" s="486"/>
      <c r="M5" s="486"/>
      <c r="N5" s="486"/>
      <c r="O5" s="486"/>
    </row>
    <row r="6" spans="1:62" ht="18" customHeight="1">
      <c r="B6" s="489" t="s">
        <v>403</v>
      </c>
      <c r="C6" s="435" t="str">
        <f>+ปร.5_Roads!C4</f>
        <v xml:space="preserve">บำรุงพิเศษ ซ่อมสร้างผิวทาง Asphaltic Concrete </v>
      </c>
      <c r="M6" s="486"/>
      <c r="N6" s="486"/>
      <c r="O6" s="486"/>
      <c r="P6" s="486"/>
    </row>
    <row r="7" spans="1:62" ht="18" customHeight="1">
      <c r="B7" s="489" t="s">
        <v>379</v>
      </c>
      <c r="C7" s="432" t="str">
        <f>+ปร.5_Roads!A2</f>
        <v xml:space="preserve"> สำนักงานทางหลวงชนบทที่ 12(สงขลา) กรมทางหลวงชนบท</v>
      </c>
      <c r="M7" s="486"/>
      <c r="N7" s="486"/>
      <c r="O7" s="486"/>
      <c r="P7" s="486"/>
    </row>
    <row r="8" spans="1:62" ht="18" customHeight="1">
      <c r="B8" s="489" t="s">
        <v>404</v>
      </c>
      <c r="C8" s="433" t="str">
        <f>+ปร.5_Roads!C6</f>
        <v>ปน.4031</v>
      </c>
      <c r="D8" s="489" t="s">
        <v>362</v>
      </c>
      <c r="E8" s="489"/>
      <c r="F8" s="432" t="str">
        <f>+ปร.5_Roads!F6</f>
        <v>แยกทางหลวงหมายเลข 4157-บ้านปาตา</v>
      </c>
      <c r="H8" s="432"/>
      <c r="I8" s="432"/>
      <c r="J8" s="432"/>
      <c r="K8" s="432"/>
      <c r="L8" s="432"/>
      <c r="M8" s="486"/>
      <c r="N8" s="486"/>
      <c r="O8" s="486"/>
      <c r="P8" s="486"/>
      <c r="BF8" s="268"/>
      <c r="BG8" s="268"/>
      <c r="BH8" s="268"/>
      <c r="BI8" s="268"/>
      <c r="BJ8" s="268"/>
    </row>
    <row r="9" spans="1:62" ht="18" customHeight="1">
      <c r="A9" s="1041"/>
      <c r="B9" s="1042" t="s">
        <v>363</v>
      </c>
      <c r="C9" s="1043" t="str">
        <f>+ปร.5_Roads!C7</f>
        <v>อำเภอ  ปะนาเระ,ยะหริ่ง จังหวัด ปัตตานี</v>
      </c>
      <c r="D9" s="1044"/>
      <c r="E9" s="1044"/>
      <c r="F9" s="1044"/>
      <c r="G9" s="1045"/>
      <c r="H9" s="1042" t="s">
        <v>545</v>
      </c>
      <c r="I9" s="1041"/>
      <c r="J9" s="1046"/>
      <c r="K9" s="1047">
        <f>+'1.ต้นทุนถนน AC.'!M9</f>
        <v>1.5229999999999999</v>
      </c>
      <c r="L9" s="1042" t="s">
        <v>564</v>
      </c>
      <c r="M9" s="1048"/>
      <c r="N9" s="1041"/>
      <c r="O9" s="1049"/>
      <c r="BF9" s="268"/>
      <c r="BG9" s="268"/>
      <c r="BH9" s="268"/>
      <c r="BI9" s="268"/>
      <c r="BJ9" s="268"/>
    </row>
    <row r="10" spans="1:62" ht="10.5" customHeight="1">
      <c r="A10" s="440"/>
      <c r="B10" s="499"/>
      <c r="C10" s="500"/>
      <c r="D10" s="440"/>
      <c r="E10" s="500"/>
      <c r="F10" s="500"/>
      <c r="G10" s="501"/>
      <c r="H10" s="499"/>
      <c r="I10" s="440"/>
      <c r="J10" s="502"/>
      <c r="K10" s="503"/>
      <c r="L10" s="499"/>
      <c r="M10" s="504"/>
      <c r="N10" s="440"/>
      <c r="O10" s="505"/>
      <c r="BF10" s="268"/>
      <c r="BG10" s="268"/>
      <c r="BH10" s="268"/>
      <c r="BI10" s="268"/>
      <c r="BJ10" s="268"/>
    </row>
    <row r="11" spans="1:62" s="283" customFormat="1" ht="17.25" customHeight="1">
      <c r="A11" s="2741" t="s">
        <v>1239</v>
      </c>
      <c r="B11" s="2741"/>
      <c r="C11" s="2741"/>
      <c r="D11" s="2741"/>
      <c r="E11" s="2741"/>
      <c r="F11" s="2741"/>
      <c r="G11" s="2741"/>
      <c r="H11" s="2741"/>
      <c r="I11" s="2741"/>
      <c r="J11" s="2741"/>
      <c r="K11" s="2741"/>
      <c r="L11" s="2741"/>
      <c r="M11" s="2741"/>
      <c r="N11" s="2741"/>
      <c r="O11" s="2741"/>
      <c r="P11" s="270"/>
      <c r="R11" s="437"/>
      <c r="BF11" s="268"/>
      <c r="BG11" s="268"/>
      <c r="BH11" s="268"/>
      <c r="BI11" s="268"/>
      <c r="BJ11" s="268"/>
    </row>
    <row r="12" spans="1:62" s="283" customFormat="1" ht="18.95" customHeight="1">
      <c r="A12" s="283">
        <v>1</v>
      </c>
      <c r="B12" s="369" t="str">
        <f>+'1.ต้นทุนถนน AC.'!B21</f>
        <v>สำนักดัชนีการค้า ปัตตานี (ตุลาคม 58)</v>
      </c>
      <c r="D12" s="283" t="s">
        <v>583</v>
      </c>
      <c r="H12" s="389">
        <f>+'1.ต้นทุนถนน AC.'!H21</f>
        <v>3003.11</v>
      </c>
      <c r="J12" s="436" t="s">
        <v>8</v>
      </c>
      <c r="K12" s="437" t="s">
        <v>4</v>
      </c>
      <c r="L12" s="878">
        <f>+'1.ต้นทุนถนน AC.'!K21</f>
        <v>65</v>
      </c>
      <c r="M12" s="437" t="s">
        <v>5</v>
      </c>
      <c r="N12" s="2357">
        <f>IF(แหล่งวัสดุ!L$23=1,IF(L12&lt;=200,VLOOKUP(L12,'S2'!B$5:'S2'!F$204,2),IF(L12&gt;200,(L12-200)*'S2'!C$205+'S2'!C$204)),IF(แหล่งวัสดุ!L$23=2,IF(L12&lt;=200,VLOOKUP(L12,'S2'!B$5:'S2'!F$204,4),IF(L12&gt;200,(L12-200)*'S2'!E$205+'S2'!E$204))))</f>
        <v>90.01</v>
      </c>
      <c r="O12" s="283" t="s">
        <v>9</v>
      </c>
      <c r="P12" s="270"/>
      <c r="R12" s="437"/>
      <c r="BF12" s="268"/>
      <c r="BG12" s="268"/>
      <c r="BH12" s="268"/>
      <c r="BI12" s="268"/>
      <c r="BJ12" s="268"/>
    </row>
    <row r="13" spans="1:62" s="283" customFormat="1" ht="18.95" customHeight="1">
      <c r="A13" s="283">
        <f t="shared" ref="A13:A28" si="0">A12+1</f>
        <v>2</v>
      </c>
      <c r="B13" s="369" t="str">
        <f>+แหล่งวัสดุ!B29</f>
        <v>อ.มะนัง จ.สตูล</v>
      </c>
      <c r="C13" s="434"/>
      <c r="D13" s="434" t="s">
        <v>587</v>
      </c>
      <c r="F13" s="434"/>
      <c r="H13" s="506">
        <f>+แหล่งวัสดุ!F29</f>
        <v>150</v>
      </c>
      <c r="J13" s="430" t="s">
        <v>3</v>
      </c>
      <c r="K13" s="437" t="s">
        <v>4</v>
      </c>
      <c r="L13" s="877">
        <f>+แหล่งวัสดุ!H29</f>
        <v>73</v>
      </c>
      <c r="M13" s="437" t="s">
        <v>5</v>
      </c>
      <c r="N13" s="2357">
        <f>IF(แหล่งวัสดุ!L$23=1,IF(L13&lt;=200,VLOOKUP(L13,'S2'!B$5:'S2'!F$204,3),IF(L13&gt;200,(L13-200)*'S2'!D$205+'S2'!D$204)),IF(แหล่งวัสดุ!L$23=2,IF(L13&lt;=200,VLOOKUP(L13,'S2'!B$5:'S2'!F$204,5),IF(L13&gt;200,(L13-200)*'S2'!F$205+'S2'!F$204))))</f>
        <v>141.43</v>
      </c>
      <c r="O13" s="430" t="s">
        <v>18</v>
      </c>
      <c r="P13" s="270"/>
      <c r="R13" s="437"/>
      <c r="BF13" s="268"/>
      <c r="BG13" s="268"/>
      <c r="BH13" s="268"/>
      <c r="BI13" s="268"/>
      <c r="BJ13" s="268"/>
    </row>
    <row r="14" spans="1:62" s="283" customFormat="1" ht="18.95" customHeight="1">
      <c r="A14" s="283">
        <f t="shared" si="0"/>
        <v>3</v>
      </c>
      <c r="B14" s="369" t="str">
        <f>+แหล่งวัสดุ!B28</f>
        <v>อ.มะนัง จ.สตูล</v>
      </c>
      <c r="C14" s="434"/>
      <c r="D14" s="434" t="s">
        <v>393</v>
      </c>
      <c r="F14" s="434"/>
      <c r="H14" s="506">
        <f>+แหล่งวัสดุ!F28</f>
        <v>485</v>
      </c>
      <c r="J14" s="430" t="s">
        <v>3</v>
      </c>
      <c r="K14" s="437" t="s">
        <v>4</v>
      </c>
      <c r="L14" s="877">
        <f>+แหล่งวัสดุ!H28</f>
        <v>73</v>
      </c>
      <c r="M14" s="437" t="s">
        <v>5</v>
      </c>
      <c r="N14" s="2357">
        <f>IF(แหล่งวัสดุ!L$23=1,IF(L14&lt;=200,VLOOKUP(L14,'S2'!B$5:'S2'!F$204,3),IF(L14&gt;200,(L14-200)*'S2'!D$205+'S2'!D$204)),IF(แหล่งวัสดุ!L$23=2,IF(L14&lt;=200,VLOOKUP(L14,'S2'!B$5:'S2'!F$204,5),IF(L14&gt;200,(L14-200)*'S2'!F$205+'S2'!F$204))))</f>
        <v>141.43</v>
      </c>
      <c r="O14" s="430" t="s">
        <v>18</v>
      </c>
      <c r="P14" s="270"/>
      <c r="R14" s="437"/>
      <c r="BF14" s="268"/>
      <c r="BG14" s="268"/>
      <c r="BH14" s="268"/>
      <c r="BI14" s="268"/>
      <c r="BJ14" s="268"/>
    </row>
    <row r="15" spans="1:62" s="283" customFormat="1" ht="18.95" customHeight="1">
      <c r="A15" s="283">
        <f t="shared" si="0"/>
        <v>4</v>
      </c>
      <c r="B15" s="369" t="str">
        <f>+แหล่งวัสดุ!B23</f>
        <v>ต.คลองเปียะ อ.จะนะ จ.สงขลา</v>
      </c>
      <c r="C15" s="434"/>
      <c r="D15" s="283" t="s">
        <v>394</v>
      </c>
      <c r="F15" s="434"/>
      <c r="H15" s="506">
        <f>+แหล่งวัสดุ!F23</f>
        <v>400</v>
      </c>
      <c r="J15" s="430" t="s">
        <v>3</v>
      </c>
      <c r="K15" s="437" t="s">
        <v>4</v>
      </c>
      <c r="L15" s="877">
        <f>+แหล่งวัสดุ!H23</f>
        <v>40</v>
      </c>
      <c r="M15" s="437" t="s">
        <v>5</v>
      </c>
      <c r="N15" s="2357">
        <f>IF(แหล่งวัสดุ!L$23=1,IF(L15&lt;=200,VLOOKUP(L15,'S2'!B$5:'S2'!F$204,3),IF(L15&gt;200,(L15-200)*'S2'!D$205+'S2'!D$204)),IF(แหล่งวัสดุ!L$23=2,IF(L15&lt;=200,VLOOKUP(L15,'S2'!B$5:'S2'!F$204,5),IF(L15&gt;200,(L15-200)*'S2'!F$205+'S2'!F$204))))</f>
        <v>77.88</v>
      </c>
      <c r="O15" s="430" t="s">
        <v>18</v>
      </c>
      <c r="P15" s="270"/>
      <c r="R15" s="437"/>
      <c r="BF15" s="268"/>
      <c r="BG15" s="268"/>
      <c r="BH15" s="268"/>
      <c r="BI15" s="268"/>
      <c r="BJ15" s="268"/>
    </row>
    <row r="16" spans="1:62" s="283" customFormat="1" ht="18.95" customHeight="1">
      <c r="A16" s="283">
        <f t="shared" si="0"/>
        <v>5</v>
      </c>
      <c r="B16" s="369" t="str">
        <f>+B12</f>
        <v>สำนักดัชนีการค้า ปัตตานี (ตุลาคม 58)</v>
      </c>
      <c r="C16" s="434"/>
      <c r="D16" s="434" t="s">
        <v>1281</v>
      </c>
      <c r="F16" s="434"/>
      <c r="H16" s="439">
        <f>+แหล่งวัสดุ!F39</f>
        <v>19898.169999999998</v>
      </c>
      <c r="J16" s="436" t="s">
        <v>8</v>
      </c>
      <c r="K16" s="437" t="s">
        <v>4</v>
      </c>
      <c r="L16" s="877">
        <f>+แหล่งวัสดุ!H39</f>
        <v>65</v>
      </c>
      <c r="M16" s="437" t="s">
        <v>5</v>
      </c>
      <c r="N16" s="2357">
        <f>IF(แหล่งวัสดุ!L$23=1,IF(L16&lt;=200,VLOOKUP(L16,'S2'!B$5:'S2'!F$204,2),IF(L16&gt;200,(L16-200)*'S2'!C$205+'S2'!C$204)),IF(แหล่งวัสดุ!L$23=2,IF(L16&lt;=200,VLOOKUP(L16,'S2'!B$5:'S2'!F$204,4),IF(L16&gt;200,(L16-200)*'S2'!E$205+'S2'!E$204))))</f>
        <v>90.01</v>
      </c>
      <c r="O16" s="283" t="s">
        <v>9</v>
      </c>
      <c r="P16" s="270"/>
      <c r="R16" s="437"/>
      <c r="BF16" s="268"/>
      <c r="BG16" s="268"/>
      <c r="BH16" s="268"/>
      <c r="BI16" s="268"/>
      <c r="BJ16" s="268"/>
    </row>
    <row r="17" spans="1:62" s="283" customFormat="1" ht="18.95" customHeight="1">
      <c r="A17" s="283">
        <f t="shared" si="0"/>
        <v>6</v>
      </c>
      <c r="B17" s="369" t="str">
        <f>+B16</f>
        <v>สำนักดัชนีการค้า ปัตตานี (ตุลาคม 58)</v>
      </c>
      <c r="C17" s="434"/>
      <c r="D17" s="434" t="s">
        <v>1282</v>
      </c>
      <c r="F17" s="434"/>
      <c r="H17" s="439">
        <f>+แหล่งวัสดุ!F40</f>
        <v>19220.78</v>
      </c>
      <c r="J17" s="436" t="s">
        <v>8</v>
      </c>
      <c r="K17" s="437" t="s">
        <v>4</v>
      </c>
      <c r="L17" s="877">
        <f>+แหล่งวัสดุ!H40</f>
        <v>65</v>
      </c>
      <c r="M17" s="437" t="s">
        <v>5</v>
      </c>
      <c r="N17" s="2357">
        <f>IF(แหล่งวัสดุ!L$23=1,IF(L17&lt;=200,VLOOKUP(L17,'S2'!B$5:'S2'!F$204,2),IF(L17&gt;200,(L17-200)*'S2'!C$205+'S2'!C$204)),IF(แหล่งวัสดุ!L$23=2,IF(L17&lt;=200,VLOOKUP(L17,'S2'!B$5:'S2'!F$204,4),IF(L17&gt;200,(L17-200)*'S2'!E$205+'S2'!E$204))))</f>
        <v>90.01</v>
      </c>
      <c r="O17" s="283" t="s">
        <v>9</v>
      </c>
      <c r="P17" s="270"/>
      <c r="R17" s="437"/>
      <c r="BF17" s="268"/>
      <c r="BG17" s="268"/>
      <c r="BH17" s="268"/>
      <c r="BI17" s="268"/>
      <c r="BJ17" s="268"/>
    </row>
    <row r="18" spans="1:62" s="283" customFormat="1" ht="18.95" customHeight="1">
      <c r="A18" s="283">
        <f t="shared" si="0"/>
        <v>7</v>
      </c>
      <c r="B18" s="369" t="str">
        <f t="shared" ref="B18:B23" si="1">+B17</f>
        <v>สำนักดัชนีการค้า ปัตตานี (ตุลาคม 58)</v>
      </c>
      <c r="C18" s="434"/>
      <c r="D18" s="434" t="s">
        <v>1283</v>
      </c>
      <c r="F18" s="434"/>
      <c r="H18" s="439">
        <f>+แหล่งวัสดุ!F44</f>
        <v>19042.060000000001</v>
      </c>
      <c r="J18" s="436" t="s">
        <v>8</v>
      </c>
      <c r="K18" s="437" t="s">
        <v>4</v>
      </c>
      <c r="L18" s="877">
        <f>+แหล่งวัสดุ!H44</f>
        <v>65</v>
      </c>
      <c r="M18" s="437" t="s">
        <v>5</v>
      </c>
      <c r="N18" s="2357">
        <f>IF(แหล่งวัสดุ!L$23=1,IF(L18&lt;=200,VLOOKUP(L18,'S2'!B$5:'S2'!F$204,2),IF(L18&gt;200,(L18-200)*'S2'!C$205+'S2'!C$204)),IF(แหล่งวัสดุ!L$23=2,IF(L18&lt;=200,VLOOKUP(L18,'S2'!B$5:'S2'!F$204,4),IF(L18&gt;200,(L18-200)*'S2'!E$205+'S2'!E$204))))</f>
        <v>90.01</v>
      </c>
      <c r="O18" s="283" t="s">
        <v>9</v>
      </c>
      <c r="P18" s="270"/>
      <c r="R18" s="437"/>
    </row>
    <row r="19" spans="1:62" s="283" customFormat="1" ht="18.95" customHeight="1">
      <c r="A19" s="283">
        <f t="shared" si="0"/>
        <v>8</v>
      </c>
      <c r="B19" s="369" t="str">
        <f t="shared" si="1"/>
        <v>สำนักดัชนีการค้า ปัตตานี (ตุลาคม 58)</v>
      </c>
      <c r="C19" s="434"/>
      <c r="D19" s="507" t="s">
        <v>265</v>
      </c>
      <c r="F19" s="434"/>
      <c r="H19" s="508">
        <f>+แหล่งวัสดุ!F58</f>
        <v>46.73</v>
      </c>
      <c r="J19" s="436" t="s">
        <v>449</v>
      </c>
      <c r="K19" s="437" t="s">
        <v>4</v>
      </c>
      <c r="L19" s="509"/>
      <c r="M19" s="437" t="s">
        <v>5</v>
      </c>
      <c r="N19" s="2358"/>
      <c r="O19" s="283" t="s">
        <v>499</v>
      </c>
      <c r="P19" s="270"/>
      <c r="R19" s="437"/>
    </row>
    <row r="20" spans="1:62" s="283" customFormat="1" ht="18.95" customHeight="1">
      <c r="A20" s="283">
        <f t="shared" si="0"/>
        <v>9</v>
      </c>
      <c r="B20" s="369" t="str">
        <f t="shared" si="1"/>
        <v>สำนักดัชนีการค้า ปัตตานี (ตุลาคม 58)</v>
      </c>
      <c r="C20" s="434"/>
      <c r="D20" s="431" t="s">
        <v>489</v>
      </c>
      <c r="H20" s="508">
        <f>+แหล่งวัสดุ!F52</f>
        <v>532.88</v>
      </c>
      <c r="J20" s="436" t="s">
        <v>490</v>
      </c>
      <c r="K20" s="437" t="s">
        <v>4</v>
      </c>
      <c r="L20" s="509"/>
      <c r="M20" s="437" t="s">
        <v>5</v>
      </c>
      <c r="N20" s="2359"/>
      <c r="O20" s="436" t="s">
        <v>490</v>
      </c>
      <c r="P20" s="270"/>
      <c r="R20" s="437"/>
    </row>
    <row r="21" spans="1:62" s="283" customFormat="1" ht="18.95" customHeight="1">
      <c r="A21" s="283">
        <f t="shared" si="0"/>
        <v>10</v>
      </c>
      <c r="B21" s="369" t="str">
        <f t="shared" si="1"/>
        <v>สำนักดัชนีการค้า ปัตตานี (ตุลาคม 58)</v>
      </c>
      <c r="C21" s="434"/>
      <c r="D21" s="431" t="s">
        <v>491</v>
      </c>
      <c r="H21" s="508">
        <f>+แหล่งวัสดุ!F53</f>
        <v>630</v>
      </c>
      <c r="J21" s="436" t="s">
        <v>492</v>
      </c>
      <c r="K21" s="437" t="s">
        <v>4</v>
      </c>
      <c r="L21" s="509"/>
      <c r="M21" s="437" t="s">
        <v>5</v>
      </c>
      <c r="N21" s="2359"/>
      <c r="O21" s="436" t="s">
        <v>492</v>
      </c>
      <c r="P21" s="270"/>
      <c r="R21" s="437"/>
    </row>
    <row r="22" spans="1:62" s="283" customFormat="1" ht="18.95" customHeight="1">
      <c r="A22" s="283">
        <f t="shared" si="0"/>
        <v>11</v>
      </c>
      <c r="B22" s="369" t="str">
        <f t="shared" si="1"/>
        <v>สำนักดัชนีการค้า ปัตตานี (ตุลาคม 58)</v>
      </c>
      <c r="C22" s="434"/>
      <c r="D22" s="510" t="s">
        <v>493</v>
      </c>
      <c r="E22" s="440"/>
      <c r="H22" s="508">
        <f>+แหล่งวัสดุ!F54</f>
        <v>409.91</v>
      </c>
      <c r="J22" s="436" t="s">
        <v>490</v>
      </c>
      <c r="K22" s="437" t="s">
        <v>4</v>
      </c>
      <c r="L22" s="509"/>
      <c r="M22" s="437" t="s">
        <v>5</v>
      </c>
      <c r="N22" s="2359"/>
      <c r="O22" s="436" t="s">
        <v>490</v>
      </c>
      <c r="P22" s="270"/>
      <c r="R22" s="437"/>
    </row>
    <row r="23" spans="1:62" s="283" customFormat="1" ht="18.95" customHeight="1">
      <c r="A23" s="283">
        <f t="shared" si="0"/>
        <v>12</v>
      </c>
      <c r="B23" s="369" t="str">
        <f t="shared" si="1"/>
        <v>สำนักดัชนีการค้า ปัตตานี (ตุลาคม 58)</v>
      </c>
      <c r="C23" s="434"/>
      <c r="D23" s="507" t="s">
        <v>267</v>
      </c>
      <c r="F23" s="434"/>
      <c r="H23" s="508">
        <f>+แหล่งวัสดุ!F59</f>
        <v>39.49</v>
      </c>
      <c r="J23" s="436" t="s">
        <v>502</v>
      </c>
      <c r="K23" s="437" t="s">
        <v>4</v>
      </c>
      <c r="L23" s="509"/>
      <c r="M23" s="437" t="s">
        <v>5</v>
      </c>
      <c r="N23" s="2359"/>
      <c r="O23" s="436" t="s">
        <v>502</v>
      </c>
      <c r="P23" s="270"/>
      <c r="R23" s="437"/>
    </row>
    <row r="24" spans="1:62" s="283" customFormat="1" ht="18.95" customHeight="1">
      <c r="A24" s="283">
        <f t="shared" si="0"/>
        <v>13</v>
      </c>
      <c r="B24" s="369" t="str">
        <f>+แหล่งวัสดุ!B60</f>
        <v>สำนักดัชนีการค้า สตูล(กันยายน 58)</v>
      </c>
      <c r="C24" s="434"/>
      <c r="D24" s="434" t="s">
        <v>1241</v>
      </c>
      <c r="F24" s="434"/>
      <c r="H24" s="511">
        <f>+แหล่งวัสดุ!F60</f>
        <v>800</v>
      </c>
      <c r="J24" s="512" t="s">
        <v>406</v>
      </c>
      <c r="K24" s="437" t="s">
        <v>4</v>
      </c>
      <c r="L24" s="877">
        <f>+แหล่งวัสดุ!H60</f>
        <v>40</v>
      </c>
      <c r="M24" s="437" t="s">
        <v>5</v>
      </c>
      <c r="N24" s="2357">
        <f>+'NO DELETE'!N41</f>
        <v>61.694166666666668</v>
      </c>
      <c r="O24" s="512" t="s">
        <v>406</v>
      </c>
      <c r="P24" s="270"/>
      <c r="R24" s="437"/>
    </row>
    <row r="25" spans="1:62" s="283" customFormat="1" ht="18.95" customHeight="1">
      <c r="A25" s="283">
        <f t="shared" si="0"/>
        <v>14</v>
      </c>
      <c r="B25" s="369" t="str">
        <f>+แหล่งวัสดุ!B61</f>
        <v>สำนักดัชนีการค้า สตูล(กันยายน 58)</v>
      </c>
      <c r="C25" s="434"/>
      <c r="D25" s="434" t="s">
        <v>1242</v>
      </c>
      <c r="F25" s="434"/>
      <c r="H25" s="511">
        <f>+แหล่งวัสดุ!F61</f>
        <v>1720</v>
      </c>
      <c r="J25" s="512" t="s">
        <v>406</v>
      </c>
      <c r="K25" s="437" t="s">
        <v>4</v>
      </c>
      <c r="L25" s="877">
        <f>+แหล่งวัสดุ!H61</f>
        <v>40</v>
      </c>
      <c r="M25" s="437" t="s">
        <v>5</v>
      </c>
      <c r="N25" s="2357">
        <f>+'NO DELETE'!N42</f>
        <v>82.25888888888889</v>
      </c>
      <c r="O25" s="512" t="s">
        <v>406</v>
      </c>
      <c r="P25" s="270"/>
      <c r="R25" s="437"/>
    </row>
    <row r="26" spans="1:62" s="283" customFormat="1" ht="18.95" customHeight="1">
      <c r="A26" s="283">
        <f t="shared" si="0"/>
        <v>15</v>
      </c>
      <c r="B26" s="369" t="str">
        <f>+แหล่งวัสดุ!B62</f>
        <v>สำนักดัชนีการค้า สตูล(กันยายน 58)</v>
      </c>
      <c r="C26" s="434"/>
      <c r="D26" s="434" t="s">
        <v>1243</v>
      </c>
      <c r="F26" s="434"/>
      <c r="H26" s="511">
        <f>+แหล่งวัสดุ!F62</f>
        <v>2360</v>
      </c>
      <c r="J26" s="512" t="s">
        <v>406</v>
      </c>
      <c r="K26" s="437" t="s">
        <v>4</v>
      </c>
      <c r="L26" s="877">
        <f>+แหล่งวัสดุ!H62</f>
        <v>40</v>
      </c>
      <c r="M26" s="437" t="s">
        <v>5</v>
      </c>
      <c r="N26" s="2357">
        <f>+'NO DELETE'!N43</f>
        <v>148.066</v>
      </c>
      <c r="O26" s="512" t="s">
        <v>406</v>
      </c>
      <c r="P26" s="270"/>
      <c r="R26" s="437"/>
    </row>
    <row r="27" spans="1:62" s="283" customFormat="1" ht="18.95" customHeight="1">
      <c r="A27" s="283">
        <f t="shared" si="0"/>
        <v>16</v>
      </c>
      <c r="B27" s="369" t="str">
        <f>+แหล่งวัสดุ!B63</f>
        <v>สำนักดัชนีการค้า สตูล(กันยายน 58)</v>
      </c>
      <c r="C27" s="434"/>
      <c r="D27" s="434" t="s">
        <v>1244</v>
      </c>
      <c r="F27" s="434"/>
      <c r="H27" s="511">
        <f>+แหล่งวัสดุ!F63</f>
        <v>3400</v>
      </c>
      <c r="J27" s="512" t="s">
        <v>406</v>
      </c>
      <c r="K27" s="437" t="s">
        <v>4</v>
      </c>
      <c r="L27" s="877">
        <f>+แหล่งวัสดุ!H63</f>
        <v>40</v>
      </c>
      <c r="M27" s="437" t="s">
        <v>5</v>
      </c>
      <c r="N27" s="2357">
        <f>+'NO DELETE'!N44</f>
        <v>185.08250000000001</v>
      </c>
      <c r="O27" s="512" t="s">
        <v>406</v>
      </c>
      <c r="P27" s="270"/>
      <c r="R27" s="437"/>
    </row>
    <row r="28" spans="1:62" s="283" customFormat="1" ht="18.95" customHeight="1">
      <c r="A28" s="283">
        <f t="shared" si="0"/>
        <v>17</v>
      </c>
      <c r="B28" s="369" t="str">
        <f>+แหล่งวัสดุ!B64</f>
        <v>สำนักดัชนีการค้า สตูล(กันยายน 58)</v>
      </c>
      <c r="C28" s="434"/>
      <c r="D28" s="434" t="s">
        <v>1245</v>
      </c>
      <c r="F28" s="434"/>
      <c r="H28" s="511">
        <f>+แหล่งวัสดุ!F64</f>
        <v>4400</v>
      </c>
      <c r="J28" s="512" t="s">
        <v>406</v>
      </c>
      <c r="K28" s="437" t="s">
        <v>4</v>
      </c>
      <c r="L28" s="877">
        <f>+แหล่งวัสดุ!H64</f>
        <v>40</v>
      </c>
      <c r="M28" s="437" t="s">
        <v>5</v>
      </c>
      <c r="N28" s="2357">
        <f>+'NO DELETE'!N45</f>
        <v>296.13200000000001</v>
      </c>
      <c r="O28" s="512" t="s">
        <v>406</v>
      </c>
      <c r="P28" s="270"/>
      <c r="R28" s="437"/>
    </row>
    <row r="29" spans="1:62" ht="18.95" customHeight="1">
      <c r="A29" s="2742" t="s">
        <v>546</v>
      </c>
      <c r="B29" s="2742"/>
      <c r="C29" s="2742"/>
      <c r="D29" s="2742"/>
      <c r="E29" s="2742"/>
      <c r="F29" s="2742"/>
      <c r="G29" s="2742"/>
      <c r="H29" s="2742"/>
      <c r="I29" s="2742"/>
      <c r="J29" s="2742"/>
      <c r="K29" s="2742"/>
      <c r="L29" s="2742"/>
      <c r="M29" s="2742"/>
      <c r="N29" s="2742"/>
      <c r="O29" s="2742"/>
    </row>
    <row r="30" spans="1:62" ht="18.95" customHeight="1">
      <c r="A30" s="1969"/>
      <c r="B30" s="1969" t="s">
        <v>1936</v>
      </c>
      <c r="C30" s="1969"/>
      <c r="D30" s="1969"/>
      <c r="E30" s="1969"/>
      <c r="F30" s="1969"/>
      <c r="G30" s="1969"/>
      <c r="H30" s="1969"/>
      <c r="I30" s="1969"/>
      <c r="J30" s="1969"/>
      <c r="K30" s="1969"/>
      <c r="L30" s="1969"/>
      <c r="M30" s="1969"/>
      <c r="N30" s="1969"/>
      <c r="O30" s="1969"/>
    </row>
    <row r="31" spans="1:62" s="803" customFormat="1" ht="18.95" customHeight="1">
      <c r="A31" s="2009"/>
      <c r="B31" s="750" t="s">
        <v>1933</v>
      </c>
      <c r="C31" s="750">
        <f>+แหล่งวัสดุ!$U$61</f>
        <v>1</v>
      </c>
      <c r="D31" s="750" t="str">
        <f>+"ทราย = "&amp;แหล่งวัสดุ!$N$77</f>
        <v>ทราย = 1</v>
      </c>
      <c r="E31" s="750"/>
      <c r="G31" s="2010" t="str">
        <f>+"เหล็ก = "&amp;แหล่งวัสดุ!$U$69</f>
        <v>เหล็ก = 1</v>
      </c>
      <c r="I31" s="440" t="str">
        <f>+"หิน = "&amp;แหล่งวัสดุ!$N$53</f>
        <v>หิน = 1</v>
      </c>
      <c r="J31" s="750"/>
      <c r="K31" s="750" t="str">
        <f>+"ท่อ ="&amp;แหล่งวัสดุ!$U$77</f>
        <v>ท่อ =1</v>
      </c>
      <c r="L31" s="750"/>
      <c r="M31" s="750"/>
      <c r="N31" s="750"/>
      <c r="O31" s="750"/>
      <c r="R31" s="2008"/>
      <c r="AG31" s="461"/>
    </row>
    <row r="32" spans="1:62" s="283" customFormat="1" ht="18.95" customHeight="1">
      <c r="B32" s="513" t="s">
        <v>488</v>
      </c>
      <c r="C32" s="438"/>
      <c r="D32" s="446"/>
      <c r="E32" s="451"/>
      <c r="F32" s="438"/>
      <c r="G32" s="446"/>
      <c r="H32" s="452"/>
      <c r="I32" s="438"/>
      <c r="J32" s="514"/>
      <c r="K32" s="437"/>
      <c r="L32" s="443"/>
      <c r="M32" s="442"/>
      <c r="R32" s="437"/>
    </row>
    <row r="33" spans="2:18" s="283" customFormat="1" ht="18.95" customHeight="1">
      <c r="B33" s="454" t="s">
        <v>288</v>
      </c>
      <c r="G33" s="438" t="s">
        <v>22</v>
      </c>
      <c r="H33" s="456">
        <v>0.52500000000000002</v>
      </c>
      <c r="J33" s="448" t="s">
        <v>289</v>
      </c>
      <c r="K33" s="449">
        <f>+H12+N12*แหล่งวัสดุ!U61</f>
        <v>3093.1200000000003</v>
      </c>
      <c r="L33" s="283" t="s">
        <v>43</v>
      </c>
      <c r="M33" s="448" t="s">
        <v>14</v>
      </c>
      <c r="N33" s="2373">
        <f>K33*H33</f>
        <v>1623.8880000000001</v>
      </c>
      <c r="O33" s="438" t="s">
        <v>43</v>
      </c>
      <c r="R33" s="437"/>
    </row>
    <row r="34" spans="2:18" s="283" customFormat="1" ht="18.95" customHeight="1">
      <c r="B34" s="454" t="s">
        <v>290</v>
      </c>
      <c r="G34" s="438" t="s">
        <v>22</v>
      </c>
      <c r="H34" s="456">
        <v>0.95199999999999996</v>
      </c>
      <c r="J34" s="448" t="s">
        <v>262</v>
      </c>
      <c r="K34" s="449">
        <f>H14+N14*แหล่งวัสดุ!N77</f>
        <v>626.43000000000006</v>
      </c>
      <c r="L34" s="283" t="s">
        <v>43</v>
      </c>
      <c r="M34" s="448" t="s">
        <v>14</v>
      </c>
      <c r="N34" s="2373">
        <f>K34*H34</f>
        <v>596.36135999999999</v>
      </c>
      <c r="O34" s="438" t="s">
        <v>43</v>
      </c>
      <c r="R34" s="437"/>
    </row>
    <row r="35" spans="2:18" s="283" customFormat="1" ht="18.95" customHeight="1">
      <c r="B35" s="2736" t="s">
        <v>292</v>
      </c>
      <c r="C35" s="2736"/>
      <c r="D35" s="2736"/>
      <c r="E35" s="2736"/>
      <c r="F35" s="2736"/>
      <c r="J35" s="515"/>
      <c r="M35" s="448" t="s">
        <v>14</v>
      </c>
      <c r="N35" s="2373">
        <f>ROUND(SUM(N33:N34),2)</f>
        <v>2220.25</v>
      </c>
      <c r="O35" s="438" t="s">
        <v>43</v>
      </c>
      <c r="R35" s="437"/>
    </row>
    <row r="36" spans="2:18" s="283" customFormat="1" ht="18.95" customHeight="1" thickBot="1">
      <c r="C36" s="438"/>
      <c r="D36" s="446"/>
      <c r="E36" s="451"/>
      <c r="F36" s="516" t="s">
        <v>1311</v>
      </c>
      <c r="J36" s="515"/>
      <c r="M36" s="448" t="s">
        <v>14</v>
      </c>
      <c r="N36" s="517">
        <f>ROUNDDOWN(N35,)</f>
        <v>2220</v>
      </c>
      <c r="O36" s="438" t="s">
        <v>3</v>
      </c>
      <c r="R36" s="437"/>
    </row>
    <row r="37" spans="2:18" s="283" customFormat="1" ht="18.95" customHeight="1" thickTop="1">
      <c r="B37" s="513" t="s">
        <v>1402</v>
      </c>
      <c r="C37" s="438"/>
      <c r="D37" s="446"/>
      <c r="E37" s="451"/>
      <c r="F37" s="438"/>
      <c r="G37" s="446"/>
      <c r="H37" s="452"/>
      <c r="I37" s="438"/>
      <c r="J37" s="514"/>
      <c r="K37" s="437"/>
      <c r="L37" s="443"/>
      <c r="M37" s="442"/>
      <c r="R37" s="437"/>
    </row>
    <row r="38" spans="2:18" s="283" customFormat="1" ht="18.95" customHeight="1">
      <c r="B38" s="454" t="s">
        <v>288</v>
      </c>
      <c r="G38" s="438" t="s">
        <v>22</v>
      </c>
      <c r="H38" s="456">
        <v>0.26</v>
      </c>
      <c r="J38" s="448" t="s">
        <v>289</v>
      </c>
      <c r="K38" s="449">
        <f>+K33</f>
        <v>3093.1200000000003</v>
      </c>
      <c r="L38" s="283" t="s">
        <v>43</v>
      </c>
      <c r="M38" s="448" t="s">
        <v>14</v>
      </c>
      <c r="N38" s="2373">
        <f>K38*H38</f>
        <v>804.21120000000008</v>
      </c>
      <c r="O38" s="438" t="s">
        <v>43</v>
      </c>
      <c r="R38" s="437"/>
    </row>
    <row r="39" spans="2:18" s="283" customFormat="1" ht="18.95" customHeight="1">
      <c r="B39" s="454" t="s">
        <v>290</v>
      </c>
      <c r="G39" s="438" t="s">
        <v>22</v>
      </c>
      <c r="H39" s="456">
        <v>0.62</v>
      </c>
      <c r="J39" s="448" t="s">
        <v>262</v>
      </c>
      <c r="K39" s="449">
        <f>+K34</f>
        <v>626.43000000000006</v>
      </c>
      <c r="L39" s="283" t="s">
        <v>43</v>
      </c>
      <c r="M39" s="448" t="s">
        <v>14</v>
      </c>
      <c r="N39" s="2373">
        <f>K39*H39</f>
        <v>388.38660000000004</v>
      </c>
      <c r="O39" s="438" t="s">
        <v>43</v>
      </c>
      <c r="R39" s="437"/>
    </row>
    <row r="40" spans="2:18" s="283" customFormat="1" ht="18.95" customHeight="1">
      <c r="B40" s="454" t="s">
        <v>291</v>
      </c>
      <c r="G40" s="438" t="s">
        <v>22</v>
      </c>
      <c r="H40" s="456">
        <v>1.03</v>
      </c>
      <c r="J40" s="448" t="s">
        <v>262</v>
      </c>
      <c r="K40" s="449">
        <f>H15+N15*แหล่งวัสดุ!N53</f>
        <v>477.88</v>
      </c>
      <c r="L40" s="283" t="s">
        <v>43</v>
      </c>
      <c r="M40" s="448" t="s">
        <v>14</v>
      </c>
      <c r="N40" s="2373">
        <f>K40*H40</f>
        <v>492.21640000000002</v>
      </c>
      <c r="O40" s="438" t="s">
        <v>43</v>
      </c>
      <c r="R40" s="437"/>
    </row>
    <row r="41" spans="2:18" s="283" customFormat="1" ht="18.95" customHeight="1">
      <c r="B41" s="2736" t="s">
        <v>292</v>
      </c>
      <c r="C41" s="2736"/>
      <c r="D41" s="2736"/>
      <c r="E41" s="2736"/>
      <c r="F41" s="2736"/>
      <c r="G41" s="438"/>
      <c r="H41" s="456"/>
      <c r="J41" s="448"/>
      <c r="K41" s="449"/>
      <c r="M41" s="448" t="s">
        <v>14</v>
      </c>
      <c r="N41" s="2373">
        <f>ROUND(SUM(N38:N40),2)</f>
        <v>1684.81</v>
      </c>
      <c r="O41" s="438" t="s">
        <v>43</v>
      </c>
      <c r="R41" s="437"/>
    </row>
    <row r="42" spans="2:18" s="283" customFormat="1" ht="18.95" customHeight="1">
      <c r="B42" s="518" t="s">
        <v>1815</v>
      </c>
      <c r="G42" s="438" t="s">
        <v>22</v>
      </c>
      <c r="H42" s="456">
        <v>1</v>
      </c>
      <c r="J42" s="448" t="s">
        <v>262</v>
      </c>
      <c r="K42" s="449">
        <f>+แหล่งวัสดุ!V17</f>
        <v>398</v>
      </c>
      <c r="L42" s="283" t="s">
        <v>43</v>
      </c>
      <c r="M42" s="448" t="s">
        <v>14</v>
      </c>
      <c r="N42" s="2373">
        <f>K42*H42</f>
        <v>398</v>
      </c>
      <c r="O42" s="438" t="s">
        <v>43</v>
      </c>
      <c r="R42" s="437"/>
    </row>
    <row r="43" spans="2:18" s="283" customFormat="1" ht="18.95" customHeight="1">
      <c r="B43" s="2736" t="s">
        <v>292</v>
      </c>
      <c r="C43" s="2736"/>
      <c r="D43" s="2736"/>
      <c r="E43" s="2736"/>
      <c r="F43" s="2736"/>
      <c r="J43" s="515"/>
      <c r="M43" s="448" t="s">
        <v>14</v>
      </c>
      <c r="N43" s="2373">
        <f>SUM(N41:N42)</f>
        <v>2082.81</v>
      </c>
      <c r="O43" s="438" t="s">
        <v>43</v>
      </c>
      <c r="R43" s="437"/>
    </row>
    <row r="44" spans="2:18" s="283" customFormat="1" ht="18.95" customHeight="1" thickBot="1">
      <c r="C44" s="438"/>
      <c r="D44" s="446"/>
      <c r="E44" s="451"/>
      <c r="F44" s="516" t="s">
        <v>1604</v>
      </c>
      <c r="J44" s="515"/>
      <c r="M44" s="448" t="s">
        <v>14</v>
      </c>
      <c r="N44" s="517">
        <f>ROUNDDOWN(N43,)</f>
        <v>2082</v>
      </c>
      <c r="O44" s="438" t="s">
        <v>3</v>
      </c>
      <c r="R44" s="437"/>
    </row>
    <row r="45" spans="2:18" s="283" customFormat="1" ht="18.95" customHeight="1" thickTop="1">
      <c r="B45" s="513" t="s">
        <v>1403</v>
      </c>
      <c r="C45" s="438"/>
      <c r="D45" s="446"/>
      <c r="E45" s="451"/>
      <c r="F45" s="438"/>
      <c r="G45" s="446"/>
      <c r="H45" s="452"/>
      <c r="I45" s="438"/>
      <c r="J45" s="514"/>
      <c r="K45" s="437"/>
      <c r="L45" s="443"/>
      <c r="M45" s="442"/>
      <c r="R45" s="437"/>
    </row>
    <row r="46" spans="2:18" s="283" customFormat="1" ht="18.95" customHeight="1">
      <c r="B46" s="454" t="s">
        <v>288</v>
      </c>
      <c r="G46" s="438" t="s">
        <v>22</v>
      </c>
      <c r="H46" s="456">
        <v>0.30399999999999999</v>
      </c>
      <c r="J46" s="448" t="s">
        <v>289</v>
      </c>
      <c r="K46" s="449">
        <f>+K38</f>
        <v>3093.1200000000003</v>
      </c>
      <c r="L46" s="283" t="s">
        <v>43</v>
      </c>
      <c r="M46" s="448" t="s">
        <v>14</v>
      </c>
      <c r="N46" s="2353">
        <f>K46*H46</f>
        <v>940.30848000000003</v>
      </c>
      <c r="O46" s="438" t="s">
        <v>43</v>
      </c>
      <c r="R46" s="437"/>
    </row>
    <row r="47" spans="2:18" s="283" customFormat="1" ht="18.95" customHeight="1">
      <c r="B47" s="454" t="s">
        <v>290</v>
      </c>
      <c r="G47" s="438" t="s">
        <v>22</v>
      </c>
      <c r="H47" s="456">
        <v>0.43</v>
      </c>
      <c r="J47" s="448" t="s">
        <v>262</v>
      </c>
      <c r="K47" s="449">
        <f>+K39</f>
        <v>626.43000000000006</v>
      </c>
      <c r="L47" s="283" t="s">
        <v>43</v>
      </c>
      <c r="M47" s="448" t="s">
        <v>14</v>
      </c>
      <c r="N47" s="2353">
        <f>K47*H47</f>
        <v>269.36490000000003</v>
      </c>
      <c r="O47" s="438" t="s">
        <v>43</v>
      </c>
      <c r="R47" s="437"/>
    </row>
    <row r="48" spans="2:18" s="283" customFormat="1" ht="18.95" customHeight="1">
      <c r="B48" s="454" t="s">
        <v>291</v>
      </c>
      <c r="G48" s="438" t="s">
        <v>22</v>
      </c>
      <c r="H48" s="456">
        <v>0.99</v>
      </c>
      <c r="J48" s="448" t="s">
        <v>262</v>
      </c>
      <c r="K48" s="449">
        <f>+K40</f>
        <v>477.88</v>
      </c>
      <c r="L48" s="283" t="s">
        <v>43</v>
      </c>
      <c r="M48" s="448" t="s">
        <v>14</v>
      </c>
      <c r="N48" s="2353">
        <f>K48*H48</f>
        <v>473.10120000000001</v>
      </c>
      <c r="O48" s="438" t="s">
        <v>43</v>
      </c>
      <c r="R48" s="437"/>
    </row>
    <row r="49" spans="1:116" s="283" customFormat="1" ht="18.95" customHeight="1">
      <c r="B49" s="2736" t="s">
        <v>292</v>
      </c>
      <c r="C49" s="2736"/>
      <c r="D49" s="2736"/>
      <c r="E49" s="2736"/>
      <c r="F49" s="2736"/>
      <c r="G49" s="438"/>
      <c r="H49" s="456"/>
      <c r="J49" s="448"/>
      <c r="K49" s="449"/>
      <c r="M49" s="448" t="s">
        <v>14</v>
      </c>
      <c r="N49" s="2353">
        <f>ROUND(SUM(N46:N48),2)</f>
        <v>1682.77</v>
      </c>
      <c r="O49" s="438" t="s">
        <v>43</v>
      </c>
      <c r="R49" s="437"/>
    </row>
    <row r="50" spans="1:116" s="283" customFormat="1" ht="18.95" customHeight="1">
      <c r="B50" s="518" t="s">
        <v>272</v>
      </c>
      <c r="G50" s="438" t="s">
        <v>22</v>
      </c>
      <c r="H50" s="456">
        <v>1</v>
      </c>
      <c r="J50" s="448" t="s">
        <v>262</v>
      </c>
      <c r="K50" s="449">
        <f>+แหล่งวัสดุ!V18</f>
        <v>436</v>
      </c>
      <c r="L50" s="283" t="s">
        <v>43</v>
      </c>
      <c r="M50" s="448" t="s">
        <v>14</v>
      </c>
      <c r="N50" s="2353">
        <f>K50*H50</f>
        <v>436</v>
      </c>
      <c r="O50" s="438" t="s">
        <v>43</v>
      </c>
      <c r="R50" s="437"/>
    </row>
    <row r="51" spans="1:116" s="283" customFormat="1" ht="18.95" customHeight="1">
      <c r="B51" s="2736" t="s">
        <v>292</v>
      </c>
      <c r="C51" s="2736"/>
      <c r="D51" s="2736"/>
      <c r="E51" s="2736"/>
      <c r="F51" s="2736"/>
      <c r="J51" s="515"/>
      <c r="M51" s="448" t="s">
        <v>14</v>
      </c>
      <c r="N51" s="2379">
        <f>SUM(N49:N50)</f>
        <v>2118.77</v>
      </c>
      <c r="O51" s="438" t="s">
        <v>43</v>
      </c>
      <c r="R51" s="437"/>
    </row>
    <row r="52" spans="1:116" s="283" customFormat="1" ht="18.95" customHeight="1" thickBot="1">
      <c r="B52" s="450"/>
      <c r="C52" s="438"/>
      <c r="D52" s="446"/>
      <c r="E52" s="451"/>
      <c r="F52" s="516" t="s">
        <v>475</v>
      </c>
      <c r="J52" s="515"/>
      <c r="M52" s="448" t="s">
        <v>14</v>
      </c>
      <c r="N52" s="517">
        <f>ROUNDDOWN(N51,)</f>
        <v>2118</v>
      </c>
      <c r="O52" s="438" t="s">
        <v>3</v>
      </c>
      <c r="R52" s="437"/>
    </row>
    <row r="53" spans="1:116" s="429" customFormat="1" ht="18.95" customHeight="1" thickTop="1">
      <c r="A53" s="444"/>
      <c r="B53" s="519" t="s">
        <v>503</v>
      </c>
      <c r="C53" s="438"/>
      <c r="D53" s="446"/>
      <c r="E53" s="451"/>
      <c r="F53" s="438"/>
      <c r="G53" s="445"/>
      <c r="H53" s="445"/>
      <c r="I53" s="445"/>
      <c r="J53" s="445"/>
      <c r="K53" s="446"/>
      <c r="L53" s="452"/>
      <c r="M53" s="438"/>
      <c r="N53" s="268"/>
      <c r="O53" s="268"/>
      <c r="P53" s="268"/>
      <c r="Q53" s="268"/>
      <c r="R53" s="520"/>
      <c r="S53" s="268"/>
      <c r="T53" s="268"/>
      <c r="U53" s="268"/>
      <c r="V53" s="268"/>
      <c r="W53" s="268"/>
      <c r="X53" s="268"/>
      <c r="Y53" s="268"/>
      <c r="Z53" s="268"/>
      <c r="AA53" s="268"/>
      <c r="AC53" s="268"/>
      <c r="AD53" s="268"/>
      <c r="AE53" s="268"/>
      <c r="AF53" s="268"/>
      <c r="AG53" s="268"/>
      <c r="AH53" s="268"/>
      <c r="AI53" s="268"/>
      <c r="AJ53" s="268"/>
      <c r="AK53" s="268"/>
      <c r="AL53" s="268"/>
      <c r="AM53" s="268"/>
      <c r="AN53" s="268"/>
      <c r="AO53" s="268"/>
      <c r="AP53" s="268"/>
      <c r="AQ53" s="268"/>
      <c r="AR53" s="268"/>
      <c r="AS53" s="268"/>
      <c r="AT53" s="268"/>
      <c r="AU53" s="268"/>
      <c r="AV53" s="268"/>
      <c r="AW53" s="268"/>
      <c r="AX53" s="268"/>
      <c r="AY53" s="268"/>
      <c r="AZ53" s="268"/>
      <c r="BA53" s="268"/>
      <c r="BB53" s="268"/>
      <c r="BC53" s="268"/>
      <c r="BD53" s="268"/>
      <c r="BE53" s="268"/>
      <c r="BF53" s="268"/>
      <c r="BG53" s="268"/>
      <c r="BH53" s="268"/>
      <c r="BI53" s="268"/>
      <c r="BJ53" s="268"/>
      <c r="BK53" s="268"/>
      <c r="BL53" s="268"/>
      <c r="BM53" s="268"/>
      <c r="BN53" s="268"/>
      <c r="BO53" s="268"/>
      <c r="BP53" s="268"/>
      <c r="BQ53" s="268"/>
      <c r="BR53" s="268"/>
      <c r="BS53" s="268"/>
      <c r="BT53" s="268"/>
      <c r="BU53" s="268"/>
      <c r="BV53" s="268"/>
      <c r="BW53" s="268"/>
      <c r="BX53" s="268"/>
      <c r="BY53" s="268"/>
      <c r="BZ53" s="268"/>
      <c r="CA53" s="268"/>
      <c r="CB53" s="268"/>
      <c r="CC53" s="268"/>
      <c r="CD53" s="268"/>
      <c r="CE53" s="268"/>
      <c r="CF53" s="268"/>
      <c r="CG53" s="268"/>
      <c r="CH53" s="268"/>
      <c r="CI53" s="268"/>
      <c r="CJ53" s="268"/>
      <c r="CK53" s="268"/>
      <c r="CL53" s="268"/>
      <c r="CM53" s="268"/>
      <c r="CN53" s="268"/>
      <c r="CO53" s="268"/>
      <c r="CP53" s="268"/>
      <c r="CQ53" s="268"/>
      <c r="CR53" s="268"/>
      <c r="CS53" s="268"/>
      <c r="CT53" s="268"/>
      <c r="CU53" s="268"/>
      <c r="CV53" s="268"/>
      <c r="CW53" s="268"/>
      <c r="CX53" s="268"/>
      <c r="CY53" s="268"/>
      <c r="CZ53" s="268"/>
      <c r="DA53" s="268"/>
      <c r="DB53" s="268"/>
      <c r="DC53" s="268"/>
      <c r="DD53" s="268"/>
      <c r="DE53" s="268"/>
      <c r="DF53" s="268"/>
      <c r="DG53" s="268"/>
      <c r="DH53" s="268"/>
      <c r="DI53" s="268"/>
      <c r="DJ53" s="268"/>
      <c r="DK53" s="268"/>
      <c r="DL53" s="268"/>
    </row>
    <row r="54" spans="1:116" s="429" customFormat="1" ht="18.95" customHeight="1">
      <c r="A54" s="444"/>
      <c r="B54" s="438" t="s">
        <v>478</v>
      </c>
      <c r="D54" s="448">
        <v>1</v>
      </c>
      <c r="E54" s="438" t="s">
        <v>479</v>
      </c>
      <c r="G54" s="457">
        <f>ROUND(H20,2)</f>
        <v>532.88</v>
      </c>
      <c r="H54" s="438" t="s">
        <v>1711</v>
      </c>
      <c r="I54" s="445"/>
      <c r="J54" s="445"/>
      <c r="M54" s="448" t="s">
        <v>14</v>
      </c>
      <c r="N54" s="2354">
        <f>ROUND(G54/4,2)</f>
        <v>133.22</v>
      </c>
      <c r="O54" s="438" t="s">
        <v>43</v>
      </c>
      <c r="P54" s="268"/>
      <c r="Q54" s="268"/>
      <c r="R54" s="520"/>
      <c r="S54" s="268"/>
      <c r="T54" s="268"/>
      <c r="U54" s="268"/>
      <c r="V54" s="268"/>
      <c r="W54" s="268"/>
      <c r="X54" s="268"/>
      <c r="Y54" s="268"/>
      <c r="Z54" s="268"/>
      <c r="AA54" s="268"/>
      <c r="AC54" s="268"/>
      <c r="AD54" s="268"/>
      <c r="AE54" s="268"/>
      <c r="AF54" s="268"/>
      <c r="AG54" s="268"/>
      <c r="AH54" s="268"/>
      <c r="AI54" s="268"/>
      <c r="AJ54" s="268"/>
      <c r="AK54" s="268"/>
      <c r="AL54" s="268"/>
      <c r="AM54" s="268"/>
      <c r="AN54" s="268"/>
      <c r="AO54" s="268"/>
      <c r="AP54" s="268"/>
      <c r="AQ54" s="268"/>
      <c r="AR54" s="268"/>
      <c r="AS54" s="268"/>
      <c r="AT54" s="268"/>
      <c r="AU54" s="268"/>
      <c r="AV54" s="268"/>
      <c r="AW54" s="268"/>
      <c r="AX54" s="268"/>
      <c r="AY54" s="268"/>
      <c r="AZ54" s="268"/>
      <c r="BA54" s="268"/>
      <c r="BB54" s="268"/>
      <c r="BC54" s="268"/>
      <c r="BD54" s="268"/>
      <c r="BE54" s="268"/>
      <c r="BF54" s="268"/>
      <c r="BG54" s="268"/>
      <c r="BH54" s="268"/>
      <c r="BI54" s="268"/>
      <c r="BJ54" s="268"/>
      <c r="BK54" s="268"/>
      <c r="BL54" s="268"/>
      <c r="BM54" s="268"/>
      <c r="BN54" s="268"/>
      <c r="BO54" s="268"/>
      <c r="BP54" s="268"/>
      <c r="BQ54" s="268"/>
      <c r="BR54" s="268"/>
      <c r="BS54" s="268"/>
      <c r="BT54" s="268"/>
      <c r="BU54" s="268"/>
      <c r="BV54" s="268"/>
      <c r="BW54" s="268"/>
      <c r="BX54" s="268"/>
      <c r="BY54" s="268"/>
      <c r="BZ54" s="268"/>
      <c r="CA54" s="268"/>
      <c r="CB54" s="268"/>
      <c r="CC54" s="268"/>
      <c r="CD54" s="268"/>
      <c r="CE54" s="268"/>
      <c r="CF54" s="268"/>
      <c r="CG54" s="268"/>
      <c r="CH54" s="268"/>
      <c r="CI54" s="268"/>
      <c r="CJ54" s="268"/>
      <c r="CK54" s="268"/>
      <c r="CL54" s="268"/>
      <c r="CM54" s="268"/>
      <c r="CN54" s="268"/>
      <c r="CO54" s="268"/>
      <c r="CP54" s="268"/>
      <c r="CQ54" s="268"/>
      <c r="CR54" s="268"/>
      <c r="CS54" s="268"/>
      <c r="CT54" s="268"/>
      <c r="CU54" s="268"/>
      <c r="CV54" s="268"/>
      <c r="CW54" s="268"/>
      <c r="CX54" s="268"/>
      <c r="CY54" s="268"/>
      <c r="CZ54" s="268"/>
      <c r="DA54" s="268"/>
      <c r="DB54" s="268"/>
      <c r="DC54" s="268"/>
      <c r="DD54" s="268"/>
      <c r="DE54" s="268"/>
      <c r="DF54" s="268"/>
      <c r="DG54" s="268"/>
      <c r="DH54" s="268"/>
      <c r="DI54" s="268"/>
      <c r="DJ54" s="268"/>
      <c r="DK54" s="268"/>
      <c r="DL54" s="268"/>
    </row>
    <row r="55" spans="1:116" s="429" customFormat="1" ht="18.95" customHeight="1">
      <c r="A55" s="444"/>
      <c r="B55" s="438" t="s">
        <v>480</v>
      </c>
      <c r="D55" s="448">
        <v>1</v>
      </c>
      <c r="E55" s="438" t="s">
        <v>481</v>
      </c>
      <c r="G55" s="458">
        <f>ROUND(H21,2)</f>
        <v>630</v>
      </c>
      <c r="H55" s="438" t="s">
        <v>1711</v>
      </c>
      <c r="I55" s="445"/>
      <c r="J55" s="445"/>
      <c r="M55" s="448" t="s">
        <v>14</v>
      </c>
      <c r="N55" s="2354">
        <f>ROUND(G55/4,2)</f>
        <v>157.5</v>
      </c>
      <c r="O55" s="438" t="s">
        <v>43</v>
      </c>
      <c r="P55" s="268"/>
      <c r="Q55" s="268"/>
      <c r="R55" s="520"/>
      <c r="S55" s="268"/>
      <c r="T55" s="268"/>
      <c r="U55" s="268"/>
      <c r="V55" s="268"/>
      <c r="W55" s="268"/>
      <c r="X55" s="268"/>
      <c r="Y55" s="268"/>
      <c r="Z55" s="268"/>
      <c r="AA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68"/>
      <c r="AM55" s="268"/>
      <c r="AN55" s="268"/>
      <c r="AO55" s="268"/>
      <c r="AP55" s="268"/>
      <c r="AQ55" s="268"/>
      <c r="AR55" s="268"/>
      <c r="AS55" s="268"/>
      <c r="AT55" s="268"/>
      <c r="AU55" s="268"/>
      <c r="AV55" s="268"/>
      <c r="AW55" s="268"/>
      <c r="AX55" s="268"/>
      <c r="AY55" s="268"/>
      <c r="AZ55" s="268"/>
      <c r="BA55" s="268"/>
      <c r="BB55" s="268"/>
      <c r="BC55" s="268"/>
      <c r="BD55" s="268"/>
      <c r="BE55" s="268"/>
      <c r="BF55" s="268"/>
      <c r="BG55" s="268"/>
      <c r="BH55" s="268"/>
      <c r="BI55" s="268"/>
      <c r="BJ55" s="268"/>
      <c r="BK55" s="268"/>
      <c r="BL55" s="268"/>
      <c r="BM55" s="268"/>
      <c r="BN55" s="268"/>
      <c r="BO55" s="268"/>
      <c r="BP55" s="268"/>
      <c r="BQ55" s="268"/>
      <c r="BR55" s="268"/>
      <c r="BS55" s="268"/>
      <c r="BT55" s="268"/>
      <c r="BU55" s="268"/>
      <c r="BV55" s="268"/>
      <c r="BW55" s="268"/>
      <c r="BX55" s="268"/>
      <c r="BY55" s="268"/>
      <c r="BZ55" s="268"/>
      <c r="CA55" s="268"/>
      <c r="CB55" s="268"/>
      <c r="CC55" s="268"/>
      <c r="CD55" s="268"/>
      <c r="CE55" s="268"/>
      <c r="CF55" s="268"/>
      <c r="CG55" s="268"/>
      <c r="CH55" s="268"/>
      <c r="CI55" s="268"/>
      <c r="CJ55" s="268"/>
      <c r="CK55" s="268"/>
      <c r="CL55" s="268"/>
      <c r="CM55" s="268"/>
      <c r="CN55" s="268"/>
      <c r="CO55" s="268"/>
      <c r="CP55" s="268"/>
      <c r="CQ55" s="268"/>
      <c r="CR55" s="268"/>
      <c r="CS55" s="268"/>
      <c r="CT55" s="268"/>
      <c r="CU55" s="268"/>
      <c r="CV55" s="268"/>
      <c r="CW55" s="268"/>
      <c r="CX55" s="268"/>
      <c r="CY55" s="268"/>
      <c r="CZ55" s="268"/>
      <c r="DA55" s="268"/>
      <c r="DB55" s="268"/>
      <c r="DC55" s="268"/>
      <c r="DD55" s="268"/>
      <c r="DE55" s="268"/>
      <c r="DF55" s="268"/>
      <c r="DG55" s="268"/>
      <c r="DH55" s="268"/>
      <c r="DI55" s="268"/>
      <c r="DJ55" s="268"/>
      <c r="DK55" s="268"/>
      <c r="DL55" s="268"/>
    </row>
    <row r="56" spans="1:116" s="429" customFormat="1" ht="18.95" customHeight="1">
      <c r="A56" s="444"/>
      <c r="B56" s="438" t="s">
        <v>482</v>
      </c>
      <c r="D56" s="459">
        <v>0.3</v>
      </c>
      <c r="E56" s="438" t="s">
        <v>479</v>
      </c>
      <c r="G56" s="458">
        <f>ROUND(H22,2)</f>
        <v>409.91</v>
      </c>
      <c r="H56" s="438" t="s">
        <v>1711</v>
      </c>
      <c r="I56" s="445"/>
      <c r="J56" s="445"/>
      <c r="M56" s="448" t="s">
        <v>14</v>
      </c>
      <c r="N56" s="2354">
        <f>ROUND(G56*D56/4,2)</f>
        <v>30.74</v>
      </c>
      <c r="O56" s="438" t="s">
        <v>31</v>
      </c>
      <c r="P56" s="268"/>
      <c r="Q56" s="268"/>
      <c r="R56" s="520"/>
      <c r="S56" s="268"/>
      <c r="T56" s="268"/>
      <c r="U56" s="268"/>
      <c r="V56" s="268"/>
      <c r="W56" s="268"/>
      <c r="X56" s="268"/>
      <c r="Y56" s="268"/>
      <c r="Z56" s="268"/>
      <c r="AA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68"/>
      <c r="AP56" s="268"/>
      <c r="AQ56" s="268"/>
      <c r="AR56" s="268"/>
      <c r="AS56" s="268"/>
      <c r="AT56" s="268"/>
      <c r="AU56" s="268"/>
      <c r="AV56" s="268"/>
      <c r="AW56" s="268"/>
      <c r="AX56" s="268"/>
      <c r="AY56" s="268"/>
      <c r="AZ56" s="268"/>
      <c r="BA56" s="268"/>
      <c r="BB56" s="268"/>
      <c r="BC56" s="268"/>
      <c r="BD56" s="268"/>
      <c r="BE56" s="268"/>
      <c r="BF56" s="268"/>
      <c r="BG56" s="268"/>
      <c r="BH56" s="268"/>
      <c r="BI56" s="268"/>
      <c r="BJ56" s="268"/>
      <c r="BK56" s="268"/>
      <c r="BL56" s="268"/>
      <c r="BM56" s="268"/>
      <c r="BN56" s="268"/>
      <c r="BO56" s="268"/>
      <c r="BP56" s="268"/>
      <c r="BQ56" s="268"/>
      <c r="BR56" s="268"/>
      <c r="BS56" s="268"/>
      <c r="BT56" s="268"/>
      <c r="BU56" s="268"/>
      <c r="BV56" s="268"/>
      <c r="BW56" s="268"/>
      <c r="BX56" s="268"/>
      <c r="BY56" s="268"/>
      <c r="BZ56" s="268"/>
      <c r="CA56" s="268"/>
      <c r="CB56" s="268"/>
      <c r="CC56" s="268"/>
      <c r="CD56" s="268"/>
      <c r="CE56" s="268"/>
      <c r="CF56" s="268"/>
      <c r="CG56" s="268"/>
      <c r="CH56" s="268"/>
      <c r="CI56" s="268"/>
      <c r="CJ56" s="268"/>
      <c r="CK56" s="268"/>
      <c r="CL56" s="268"/>
      <c r="CM56" s="268"/>
      <c r="CN56" s="268"/>
      <c r="CO56" s="268"/>
      <c r="CP56" s="268"/>
      <c r="CQ56" s="268"/>
      <c r="CR56" s="268"/>
      <c r="CS56" s="268"/>
      <c r="CT56" s="268"/>
      <c r="CU56" s="268"/>
      <c r="CV56" s="268"/>
      <c r="CW56" s="268"/>
      <c r="CX56" s="268"/>
      <c r="CY56" s="268"/>
      <c r="CZ56" s="268"/>
      <c r="DA56" s="268"/>
      <c r="DB56" s="268"/>
      <c r="DC56" s="268"/>
      <c r="DD56" s="268"/>
      <c r="DE56" s="268"/>
      <c r="DF56" s="268"/>
      <c r="DG56" s="268"/>
      <c r="DH56" s="268"/>
      <c r="DI56" s="268"/>
      <c r="DJ56" s="268"/>
      <c r="DK56" s="268"/>
      <c r="DL56" s="268"/>
    </row>
    <row r="57" spans="1:116" s="429" customFormat="1" ht="18.95" customHeight="1">
      <c r="A57" s="444"/>
      <c r="B57" s="438" t="s">
        <v>483</v>
      </c>
      <c r="D57" s="459">
        <v>0.25</v>
      </c>
      <c r="E57" s="438" t="s">
        <v>484</v>
      </c>
      <c r="G57" s="460">
        <f>+H23</f>
        <v>39.49</v>
      </c>
      <c r="H57" s="445" t="s">
        <v>43</v>
      </c>
      <c r="I57" s="445"/>
      <c r="J57" s="445"/>
      <c r="M57" s="448" t="s">
        <v>14</v>
      </c>
      <c r="N57" s="2354">
        <f>D57*G57</f>
        <v>9.8725000000000005</v>
      </c>
      <c r="O57" s="438" t="s">
        <v>31</v>
      </c>
      <c r="P57" s="268"/>
      <c r="Q57" s="268"/>
      <c r="R57" s="520"/>
      <c r="S57" s="268"/>
      <c r="T57" s="268"/>
      <c r="U57" s="268"/>
      <c r="V57" s="268"/>
      <c r="W57" s="268"/>
      <c r="X57" s="268"/>
      <c r="Y57" s="268"/>
      <c r="Z57" s="268"/>
      <c r="AA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268"/>
      <c r="AP57" s="268"/>
      <c r="AQ57" s="268"/>
      <c r="AR57" s="268"/>
      <c r="AS57" s="268"/>
      <c r="AT57" s="268"/>
      <c r="AU57" s="268"/>
      <c r="AV57" s="268"/>
      <c r="AW57" s="268"/>
      <c r="AX57" s="268"/>
      <c r="AY57" s="268"/>
      <c r="AZ57" s="268"/>
      <c r="BA57" s="268"/>
      <c r="BB57" s="268"/>
      <c r="BC57" s="268"/>
      <c r="BD57" s="268"/>
      <c r="BE57" s="268"/>
      <c r="BF57" s="268"/>
      <c r="BG57" s="268"/>
      <c r="BH57" s="268"/>
      <c r="BI57" s="268"/>
      <c r="BJ57" s="268"/>
      <c r="BK57" s="268"/>
      <c r="BL57" s="268"/>
      <c r="BM57" s="268"/>
      <c r="BN57" s="268"/>
      <c r="BO57" s="268"/>
      <c r="BP57" s="268"/>
      <c r="BQ57" s="268"/>
      <c r="BR57" s="268"/>
      <c r="BS57" s="268"/>
      <c r="BT57" s="268"/>
      <c r="BU57" s="268"/>
      <c r="BV57" s="268"/>
      <c r="BW57" s="268"/>
      <c r="BX57" s="268"/>
      <c r="BY57" s="268"/>
      <c r="BZ57" s="268"/>
      <c r="CA57" s="268"/>
      <c r="CB57" s="268"/>
      <c r="CC57" s="268"/>
      <c r="CD57" s="268"/>
      <c r="CE57" s="268"/>
      <c r="CF57" s="268"/>
      <c r="CG57" s="268"/>
      <c r="CH57" s="268"/>
      <c r="CI57" s="268"/>
      <c r="CJ57" s="268"/>
      <c r="CK57" s="268"/>
      <c r="CL57" s="268"/>
      <c r="CM57" s="268"/>
      <c r="CN57" s="268"/>
      <c r="CO57" s="268"/>
      <c r="CP57" s="268"/>
      <c r="CQ57" s="268"/>
      <c r="CR57" s="268"/>
      <c r="CS57" s="268"/>
      <c r="CT57" s="268"/>
      <c r="CU57" s="268"/>
      <c r="CV57" s="268"/>
      <c r="CW57" s="268"/>
      <c r="CX57" s="268"/>
      <c r="CY57" s="268"/>
      <c r="CZ57" s="268"/>
      <c r="DA57" s="268"/>
      <c r="DB57" s="268"/>
      <c r="DC57" s="268"/>
      <c r="DD57" s="268"/>
      <c r="DE57" s="268"/>
      <c r="DF57" s="268"/>
      <c r="DG57" s="268"/>
      <c r="DH57" s="268"/>
      <c r="DI57" s="268"/>
      <c r="DJ57" s="268"/>
      <c r="DK57" s="268"/>
      <c r="DL57" s="268"/>
    </row>
    <row r="58" spans="1:116" s="429" customFormat="1" ht="18.95" customHeight="1">
      <c r="A58" s="444"/>
      <c r="B58" s="438" t="s">
        <v>485</v>
      </c>
      <c r="D58" s="459">
        <v>1</v>
      </c>
      <c r="E58" s="438" t="s">
        <v>481</v>
      </c>
      <c r="G58" s="521">
        <v>20</v>
      </c>
      <c r="H58" s="445" t="s">
        <v>43</v>
      </c>
      <c r="I58" s="445"/>
      <c r="J58" s="445"/>
      <c r="M58" s="448" t="s">
        <v>14</v>
      </c>
      <c r="N58" s="2354">
        <f>D58*G58</f>
        <v>20</v>
      </c>
      <c r="O58" s="438" t="s">
        <v>43</v>
      </c>
      <c r="P58" s="268"/>
      <c r="Q58" s="268"/>
      <c r="R58" s="520"/>
      <c r="S58" s="268"/>
      <c r="T58" s="268"/>
      <c r="U58" s="268"/>
      <c r="V58" s="268"/>
      <c r="W58" s="268"/>
      <c r="X58" s="268"/>
      <c r="Y58" s="268"/>
      <c r="Z58" s="268"/>
      <c r="AA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68"/>
      <c r="AM58" s="268"/>
      <c r="AN58" s="268"/>
      <c r="AO58" s="268"/>
      <c r="AP58" s="268"/>
      <c r="AQ58" s="268"/>
      <c r="AR58" s="268"/>
      <c r="AS58" s="268"/>
      <c r="AT58" s="268"/>
      <c r="AU58" s="268"/>
      <c r="AV58" s="268"/>
      <c r="AW58" s="268"/>
      <c r="AX58" s="268"/>
      <c r="AY58" s="268"/>
      <c r="AZ58" s="268"/>
      <c r="BA58" s="268"/>
      <c r="BB58" s="268"/>
      <c r="BC58" s="268"/>
      <c r="BD58" s="268"/>
      <c r="BE58" s="268"/>
      <c r="BF58" s="268"/>
      <c r="BG58" s="268"/>
      <c r="BH58" s="268"/>
      <c r="BI58" s="268"/>
      <c r="BJ58" s="268"/>
      <c r="BK58" s="268"/>
      <c r="BL58" s="268"/>
      <c r="BM58" s="268"/>
      <c r="BN58" s="268"/>
      <c r="BO58" s="268"/>
      <c r="BP58" s="268"/>
      <c r="BQ58" s="268"/>
      <c r="BR58" s="268"/>
      <c r="BS58" s="268"/>
      <c r="BT58" s="268"/>
      <c r="BU58" s="268"/>
      <c r="BV58" s="268"/>
      <c r="BW58" s="268"/>
      <c r="BX58" s="268"/>
      <c r="BY58" s="268"/>
      <c r="BZ58" s="268"/>
      <c r="CA58" s="268"/>
      <c r="CB58" s="268"/>
      <c r="CC58" s="268"/>
      <c r="CD58" s="268"/>
      <c r="CE58" s="268"/>
      <c r="CF58" s="268"/>
      <c r="CG58" s="268"/>
      <c r="CH58" s="268"/>
      <c r="CI58" s="268"/>
      <c r="CJ58" s="268"/>
      <c r="CK58" s="268"/>
      <c r="CL58" s="268"/>
      <c r="CM58" s="268"/>
      <c r="CN58" s="268"/>
      <c r="CO58" s="268"/>
      <c r="CP58" s="268"/>
      <c r="CQ58" s="268"/>
      <c r="CR58" s="268"/>
      <c r="CS58" s="268"/>
      <c r="CT58" s="268"/>
      <c r="CU58" s="268"/>
      <c r="CV58" s="268"/>
      <c r="CW58" s="268"/>
      <c r="CX58" s="268"/>
      <c r="CY58" s="268"/>
      <c r="CZ58" s="268"/>
      <c r="DA58" s="268"/>
      <c r="DB58" s="268"/>
      <c r="DC58" s="268"/>
      <c r="DD58" s="268"/>
      <c r="DE58" s="268"/>
      <c r="DF58" s="268"/>
      <c r="DG58" s="268"/>
      <c r="DH58" s="268"/>
      <c r="DI58" s="268"/>
      <c r="DJ58" s="268"/>
      <c r="DK58" s="268"/>
      <c r="DL58" s="268"/>
    </row>
    <row r="59" spans="1:116" s="462" customFormat="1" ht="18.95" customHeight="1">
      <c r="A59" s="444"/>
      <c r="B59" s="446" t="s">
        <v>486</v>
      </c>
      <c r="C59" s="438"/>
      <c r="D59" s="438"/>
      <c r="E59" s="438"/>
      <c r="F59" s="438"/>
      <c r="G59" s="445"/>
      <c r="H59" s="445"/>
      <c r="J59" s="445"/>
      <c r="K59" s="438" t="s">
        <v>487</v>
      </c>
      <c r="M59" s="448" t="s">
        <v>14</v>
      </c>
      <c r="N59" s="2354">
        <f>SUM(N54:N58)</f>
        <v>351.33250000000004</v>
      </c>
      <c r="O59" s="438" t="s">
        <v>43</v>
      </c>
      <c r="P59" s="461"/>
      <c r="Q59" s="461"/>
      <c r="R59" s="522"/>
      <c r="S59" s="461"/>
      <c r="T59" s="461"/>
      <c r="U59" s="461"/>
      <c r="V59" s="461"/>
      <c r="W59" s="461"/>
      <c r="X59" s="461"/>
      <c r="Y59" s="461"/>
      <c r="Z59" s="461"/>
      <c r="AA59" s="461"/>
      <c r="BD59" s="461"/>
      <c r="BE59" s="461"/>
      <c r="BF59" s="461"/>
      <c r="BG59" s="461"/>
      <c r="BH59" s="461"/>
      <c r="BI59" s="461"/>
      <c r="BJ59" s="461"/>
      <c r="BK59" s="461"/>
      <c r="BL59" s="461"/>
      <c r="BM59" s="461"/>
      <c r="BN59" s="461"/>
      <c r="BO59" s="461"/>
      <c r="BP59" s="461"/>
      <c r="BQ59" s="461"/>
      <c r="BR59" s="461"/>
      <c r="BS59" s="461"/>
      <c r="BT59" s="461"/>
      <c r="BU59" s="461"/>
      <c r="BV59" s="461"/>
      <c r="BW59" s="461"/>
      <c r="BX59" s="461"/>
      <c r="BY59" s="461"/>
      <c r="BZ59" s="461"/>
      <c r="CA59" s="461"/>
      <c r="CB59" s="461"/>
      <c r="CC59" s="461"/>
      <c r="CD59" s="461"/>
      <c r="CE59" s="461"/>
      <c r="CF59" s="461"/>
      <c r="CG59" s="461"/>
      <c r="CH59" s="461"/>
      <c r="CI59" s="461"/>
      <c r="CJ59" s="461"/>
      <c r="CK59" s="461"/>
      <c r="CL59" s="461"/>
      <c r="CM59" s="461"/>
      <c r="CN59" s="461"/>
      <c r="CO59" s="461"/>
      <c r="CP59" s="461"/>
      <c r="CQ59" s="461"/>
      <c r="CR59" s="461"/>
      <c r="CS59" s="461"/>
      <c r="CT59" s="461"/>
      <c r="CU59" s="461"/>
      <c r="CV59" s="461"/>
      <c r="CW59" s="461"/>
      <c r="CX59" s="461"/>
      <c r="CY59" s="461"/>
      <c r="CZ59" s="461"/>
      <c r="DA59" s="461"/>
      <c r="DB59" s="461"/>
      <c r="DC59" s="461"/>
      <c r="DD59" s="461"/>
      <c r="DE59" s="461"/>
      <c r="DF59" s="461"/>
      <c r="DG59" s="461"/>
      <c r="DH59" s="461"/>
      <c r="DI59" s="461"/>
      <c r="DJ59" s="461"/>
      <c r="DK59" s="461"/>
      <c r="DL59" s="461"/>
    </row>
    <row r="60" spans="1:116" s="462" customFormat="1" ht="18.95" customHeight="1" thickBot="1">
      <c r="A60" s="455"/>
      <c r="C60" s="516"/>
      <c r="D60" s="453"/>
      <c r="E60" s="516" t="s">
        <v>547</v>
      </c>
      <c r="F60" s="461"/>
      <c r="G60" s="269"/>
      <c r="H60" s="269"/>
      <c r="J60" s="269"/>
      <c r="K60" s="453" t="s">
        <v>487</v>
      </c>
      <c r="M60" s="463" t="s">
        <v>14</v>
      </c>
      <c r="N60" s="523">
        <f>ROUNDDOWN(N59,1)</f>
        <v>351.3</v>
      </c>
      <c r="O60" s="453" t="s">
        <v>43</v>
      </c>
      <c r="P60" s="461"/>
      <c r="Q60" s="461"/>
      <c r="R60" s="522"/>
      <c r="S60" s="461"/>
      <c r="T60" s="461"/>
      <c r="U60" s="461"/>
      <c r="V60" s="461"/>
      <c r="W60" s="461"/>
      <c r="X60" s="461"/>
      <c r="Y60" s="461"/>
      <c r="Z60" s="461"/>
      <c r="AA60" s="461"/>
      <c r="BD60" s="461"/>
      <c r="BE60" s="461"/>
      <c r="BF60" s="461"/>
      <c r="BG60" s="461"/>
      <c r="BH60" s="461"/>
      <c r="BI60" s="461"/>
      <c r="BJ60" s="461"/>
      <c r="BK60" s="461"/>
      <c r="BL60" s="461"/>
      <c r="BM60" s="461"/>
      <c r="BN60" s="461"/>
      <c r="BO60" s="461"/>
      <c r="BP60" s="461"/>
      <c r="BQ60" s="461"/>
      <c r="BR60" s="461"/>
      <c r="BS60" s="461"/>
      <c r="BT60" s="461"/>
      <c r="BU60" s="461"/>
      <c r="BV60" s="461"/>
      <c r="BW60" s="461"/>
      <c r="BX60" s="461"/>
      <c r="BY60" s="461"/>
      <c r="BZ60" s="461"/>
      <c r="CA60" s="461"/>
      <c r="CB60" s="461"/>
      <c r="CC60" s="461"/>
      <c r="CD60" s="461"/>
      <c r="CE60" s="461"/>
      <c r="CF60" s="461"/>
      <c r="CG60" s="461"/>
      <c r="CH60" s="461"/>
      <c r="CI60" s="461"/>
      <c r="CJ60" s="461"/>
      <c r="CK60" s="461"/>
      <c r="CL60" s="461"/>
      <c r="CM60" s="461"/>
      <c r="CN60" s="461"/>
      <c r="CO60" s="461"/>
      <c r="CP60" s="461"/>
      <c r="CQ60" s="461"/>
      <c r="CR60" s="461"/>
      <c r="CS60" s="461"/>
      <c r="CT60" s="461"/>
      <c r="CU60" s="461"/>
      <c r="CV60" s="461"/>
      <c r="CW60" s="461"/>
      <c r="CX60" s="461"/>
      <c r="CY60" s="461"/>
      <c r="CZ60" s="461"/>
      <c r="DA60" s="461"/>
      <c r="DB60" s="461"/>
      <c r="DC60" s="461"/>
      <c r="DD60" s="461"/>
      <c r="DE60" s="461"/>
      <c r="DF60" s="461"/>
      <c r="DG60" s="461"/>
      <c r="DH60" s="461"/>
      <c r="DI60" s="461"/>
      <c r="DJ60" s="461"/>
      <c r="DK60" s="461"/>
      <c r="DL60" s="461"/>
    </row>
    <row r="61" spans="1:116" s="270" customFormat="1" ht="18.95" customHeight="1" thickTop="1">
      <c r="B61" s="524" t="s">
        <v>1935</v>
      </c>
      <c r="C61" s="525"/>
      <c r="G61" s="526"/>
      <c r="H61" s="527"/>
      <c r="J61" s="528"/>
      <c r="K61" s="526"/>
      <c r="N61" s="527"/>
      <c r="R61" s="480"/>
    </row>
    <row r="62" spans="1:116" ht="18.95" customHeight="1">
      <c r="B62" s="529" t="str">
        <f>+"5.1 ท่อ คสล."&amp;VLOOKUP('NO DELETE'!$H$1,'NO DELETE'!$A$4:$G$18,2)</f>
        <v>5.1 ท่อ คสล. ขนาด Dia. 1 - 0.80 ม. x 1.00 ม.</v>
      </c>
      <c r="C62" s="530"/>
      <c r="D62" s="531"/>
      <c r="E62" s="269"/>
      <c r="F62" s="269"/>
      <c r="G62" s="531"/>
      <c r="H62" s="532"/>
      <c r="I62" s="269"/>
      <c r="J62" s="533"/>
      <c r="K62" s="531"/>
      <c r="L62" s="269"/>
      <c r="M62" s="269"/>
      <c r="N62" s="534"/>
      <c r="O62" s="269"/>
    </row>
    <row r="63" spans="1:116" ht="18.95" customHeight="1">
      <c r="B63" s="269" t="s">
        <v>405</v>
      </c>
      <c r="C63" s="530"/>
      <c r="D63" s="269"/>
      <c r="E63" s="269"/>
      <c r="F63" s="269"/>
      <c r="G63" s="531"/>
      <c r="H63" s="269"/>
      <c r="I63" s="269"/>
      <c r="J63" s="533"/>
      <c r="K63" s="531"/>
      <c r="L63" s="269"/>
      <c r="M63" s="535" t="s">
        <v>14</v>
      </c>
      <c r="N63" s="2374">
        <f>+VLOOKUP('NO DELETE'!$H$1,'NO DELETE'!$A$4:$N$18,8)</f>
        <v>1802.2588888888888</v>
      </c>
      <c r="O63" s="269" t="s">
        <v>406</v>
      </c>
    </row>
    <row r="64" spans="1:116" ht="18.95" customHeight="1">
      <c r="B64" s="269" t="s">
        <v>407</v>
      </c>
      <c r="C64" s="530"/>
      <c r="E64" s="537" t="s">
        <v>14</v>
      </c>
      <c r="F64" s="532">
        <f>+VLOOKUP('NO DELETE'!$H$1,'NO DELETE'!$A$4:$E$18,5)</f>
        <v>1.748</v>
      </c>
      <c r="G64" s="538" t="s">
        <v>262</v>
      </c>
      <c r="H64" s="539">
        <f>H13+N13</f>
        <v>291.43</v>
      </c>
      <c r="I64" s="533" t="s">
        <v>43</v>
      </c>
      <c r="J64" s="269"/>
      <c r="K64" s="531"/>
      <c r="L64" s="269"/>
      <c r="M64" s="535" t="s">
        <v>14</v>
      </c>
      <c r="N64" s="2375">
        <f>+H64*F64</f>
        <v>509.41964000000002</v>
      </c>
      <c r="O64" s="269" t="s">
        <v>43</v>
      </c>
    </row>
    <row r="65" spans="2:17" ht="18.95" customHeight="1">
      <c r="B65" s="540" t="s">
        <v>1404</v>
      </c>
      <c r="C65" s="530"/>
      <c r="E65" s="537" t="s">
        <v>14</v>
      </c>
      <c r="F65" s="532">
        <f>+VLOOKUP('NO DELETE'!$H$1,'NO DELETE'!$A$4:$G$18,6)</f>
        <v>0.23899999999999999</v>
      </c>
      <c r="G65" s="538" t="s">
        <v>262</v>
      </c>
      <c r="H65" s="539">
        <f>N44</f>
        <v>2082</v>
      </c>
      <c r="I65" s="533" t="s">
        <v>43</v>
      </c>
      <c r="J65" s="533"/>
      <c r="K65" s="531"/>
      <c r="L65" s="269"/>
      <c r="M65" s="535" t="s">
        <v>14</v>
      </c>
      <c r="N65" s="2375">
        <f>+H65*F65</f>
        <v>497.59799999999996</v>
      </c>
      <c r="O65" s="269" t="s">
        <v>43</v>
      </c>
    </row>
    <row r="66" spans="2:17" ht="18.95" customHeight="1">
      <c r="B66" s="269" t="s">
        <v>408</v>
      </c>
      <c r="C66" s="530"/>
      <c r="E66" s="537" t="s">
        <v>14</v>
      </c>
      <c r="F66" s="532">
        <f>+VLOOKUP('NO DELETE'!$H$1,'NO DELETE'!$A$4:$G$18,7)</f>
        <v>0.02</v>
      </c>
      <c r="G66" s="538" t="s">
        <v>262</v>
      </c>
      <c r="H66" s="539">
        <f>N36</f>
        <v>2220</v>
      </c>
      <c r="I66" s="533" t="s">
        <v>43</v>
      </c>
      <c r="J66" s="533"/>
      <c r="K66" s="531"/>
      <c r="L66" s="269"/>
      <c r="M66" s="535" t="s">
        <v>14</v>
      </c>
      <c r="N66" s="2375">
        <f>+H66*F66</f>
        <v>44.4</v>
      </c>
      <c r="O66" s="269" t="s">
        <v>43</v>
      </c>
    </row>
    <row r="67" spans="2:17" ht="18.95" customHeight="1">
      <c r="B67" s="269" t="s">
        <v>409</v>
      </c>
      <c r="C67" s="530"/>
      <c r="D67" s="269"/>
      <c r="E67" s="269"/>
      <c r="F67" s="269"/>
      <c r="G67" s="531"/>
      <c r="H67" s="269"/>
      <c r="I67" s="269"/>
      <c r="J67" s="541"/>
      <c r="K67" s="531"/>
      <c r="L67" s="269"/>
      <c r="M67" s="535" t="s">
        <v>14</v>
      </c>
      <c r="N67" s="2374">
        <f>+VLOOKUP('NO DELETE'!$H$1,'NO DELETE'!$A$4:$N$18,12)</f>
        <v>421</v>
      </c>
      <c r="O67" s="269" t="s">
        <v>43</v>
      </c>
    </row>
    <row r="68" spans="2:17" ht="18.95" customHeight="1">
      <c r="B68" s="269"/>
      <c r="C68" s="530"/>
      <c r="D68" s="531"/>
      <c r="E68" s="532"/>
      <c r="F68" s="269" t="s">
        <v>410</v>
      </c>
      <c r="G68" s="531"/>
      <c r="H68" s="269"/>
      <c r="I68" s="269"/>
      <c r="J68" s="533"/>
      <c r="K68" s="531"/>
      <c r="L68" s="269"/>
      <c r="M68" s="535" t="s">
        <v>14</v>
      </c>
      <c r="N68" s="2375">
        <f>SUM(N63:N67)</f>
        <v>3274.6765288888887</v>
      </c>
      <c r="O68" s="269" t="s">
        <v>43</v>
      </c>
    </row>
    <row r="69" spans="2:17" ht="18.95" customHeight="1" thickBot="1">
      <c r="C69" s="530"/>
      <c r="D69" s="542" t="str">
        <f>+"... ค่างานต้นทุนวางท่อ "&amp;VLOOKUP('NO DELETE'!$H$1,'NO DELETE'!$A$4:$C$18,2)&amp;"ต่อ 1 เมตร"</f>
        <v>... ค่างานต้นทุนวางท่อ  ขนาด Dia. 1 - 0.80 ม. x 1.00 ม.ต่อ 1 เมตร</v>
      </c>
      <c r="E69" s="269"/>
      <c r="F69" s="269"/>
      <c r="G69" s="531"/>
      <c r="H69" s="269"/>
      <c r="I69" s="269"/>
      <c r="J69" s="533"/>
      <c r="K69" s="531"/>
      <c r="L69" s="269"/>
      <c r="M69" s="535" t="s">
        <v>14</v>
      </c>
      <c r="N69" s="543">
        <f>+ROUND(N68,)</f>
        <v>3275</v>
      </c>
      <c r="O69" s="269" t="s">
        <v>43</v>
      </c>
      <c r="Q69" s="544"/>
    </row>
    <row r="70" spans="2:17" ht="18.95" customHeight="1" thickTop="1">
      <c r="B70" s="529" t="str">
        <f>+"5.2 ท่อ คสล."&amp;VLOOKUP('NO DELETE'!$I$1,'NO DELETE'!$A$4:$G$18,2)</f>
        <v>5.2 ท่อ คสล. ขนาด Dia. 2 - 1.00 ม. x 1.00 ม.</v>
      </c>
      <c r="C70" s="530"/>
      <c r="D70" s="531"/>
      <c r="E70" s="269"/>
      <c r="F70" s="269"/>
      <c r="G70" s="531"/>
      <c r="H70" s="269"/>
      <c r="I70" s="269"/>
      <c r="J70" s="533"/>
      <c r="K70" s="531"/>
      <c r="L70" s="269"/>
      <c r="M70" s="537"/>
      <c r="N70" s="534"/>
      <c r="O70" s="269"/>
    </row>
    <row r="71" spans="2:17" ht="18.95" customHeight="1">
      <c r="B71" s="269" t="s">
        <v>405</v>
      </c>
      <c r="C71" s="530"/>
      <c r="D71" s="269"/>
      <c r="E71" s="269"/>
      <c r="F71" s="269"/>
      <c r="G71" s="531"/>
      <c r="H71" s="269"/>
      <c r="I71" s="269"/>
      <c r="J71" s="533"/>
      <c r="K71" s="531"/>
      <c r="L71" s="269"/>
      <c r="M71" s="535" t="s">
        <v>14</v>
      </c>
      <c r="N71" s="2374">
        <f>+VLOOKUP('NO DELETE'!$I$1,'NO DELETE'!$A$4:$N$18,8)</f>
        <v>5016.1319999999996</v>
      </c>
      <c r="O71" s="269" t="s">
        <v>406</v>
      </c>
    </row>
    <row r="72" spans="2:17" ht="18.95" customHeight="1">
      <c r="B72" s="269" t="s">
        <v>2077</v>
      </c>
      <c r="C72" s="530"/>
      <c r="D72" s="269"/>
      <c r="E72" s="537" t="s">
        <v>14</v>
      </c>
      <c r="F72" s="532">
        <f>+VLOOKUP('NO DELETE'!$I$1,'NO DELETE'!$A$4:$N$18,13)</f>
        <v>5.3810000000000002</v>
      </c>
      <c r="G72" s="538" t="s">
        <v>262</v>
      </c>
      <c r="H72" s="532">
        <f>+'S2'!$BF$38</f>
        <v>20.92</v>
      </c>
      <c r="I72" s="533" t="s">
        <v>43</v>
      </c>
      <c r="J72" s="533"/>
      <c r="K72" s="531"/>
      <c r="L72" s="269"/>
      <c r="M72" s="535" t="s">
        <v>14</v>
      </c>
      <c r="N72" s="2374">
        <f>+H72+F72</f>
        <v>26.301000000000002</v>
      </c>
      <c r="O72" s="269" t="s">
        <v>43</v>
      </c>
    </row>
    <row r="73" spans="2:17" ht="18.95" customHeight="1">
      <c r="B73" s="269" t="s">
        <v>407</v>
      </c>
      <c r="C73" s="530"/>
      <c r="E73" s="537" t="s">
        <v>14</v>
      </c>
      <c r="F73" s="532">
        <f>+VLOOKUP('NO DELETE'!$I$1,'NO DELETE'!$A$4:$G$18,5)</f>
        <v>5.085</v>
      </c>
      <c r="G73" s="538" t="s">
        <v>262</v>
      </c>
      <c r="H73" s="539">
        <f>+H64</f>
        <v>291.43</v>
      </c>
      <c r="I73" s="533" t="s">
        <v>43</v>
      </c>
      <c r="J73" s="533"/>
      <c r="K73" s="531"/>
      <c r="L73" s="269"/>
      <c r="M73" s="535" t="s">
        <v>14</v>
      </c>
      <c r="N73" s="2375">
        <f>+H73*F73</f>
        <v>1481.92155</v>
      </c>
      <c r="O73" s="269" t="s">
        <v>43</v>
      </c>
    </row>
    <row r="74" spans="2:17" ht="18.95" customHeight="1">
      <c r="B74" s="540" t="s">
        <v>1404</v>
      </c>
      <c r="C74" s="530"/>
      <c r="E74" s="537" t="s">
        <v>14</v>
      </c>
      <c r="F74" s="532">
        <f>+VLOOKUP('NO DELETE'!$I$1,'NO DELETE'!$A$4:$G$18,6)</f>
        <v>0.53100000000000003</v>
      </c>
      <c r="G74" s="538" t="s">
        <v>262</v>
      </c>
      <c r="H74" s="539">
        <f>+H65</f>
        <v>2082</v>
      </c>
      <c r="I74" s="533" t="s">
        <v>43</v>
      </c>
      <c r="J74" s="533"/>
      <c r="K74" s="531"/>
      <c r="L74" s="269"/>
      <c r="M74" s="535" t="s">
        <v>14</v>
      </c>
      <c r="N74" s="2375">
        <f>+H74*F74</f>
        <v>1105.5420000000001</v>
      </c>
      <c r="O74" s="269" t="s">
        <v>43</v>
      </c>
    </row>
    <row r="75" spans="2:17" ht="18.95" customHeight="1">
      <c r="B75" s="269" t="s">
        <v>408</v>
      </c>
      <c r="C75" s="530"/>
      <c r="E75" s="537" t="s">
        <v>14</v>
      </c>
      <c r="F75" s="532">
        <f>+VLOOKUP('NO DELETE'!$I$1,'NO DELETE'!$A$4:$G$18,7)</f>
        <v>0.04</v>
      </c>
      <c r="G75" s="538" t="s">
        <v>262</v>
      </c>
      <c r="H75" s="539">
        <f>+H66</f>
        <v>2220</v>
      </c>
      <c r="I75" s="533" t="s">
        <v>43</v>
      </c>
      <c r="J75" s="533"/>
      <c r="K75" s="531"/>
      <c r="L75" s="269"/>
      <c r="M75" s="535" t="s">
        <v>14</v>
      </c>
      <c r="N75" s="2375">
        <f>+H75*F75</f>
        <v>88.8</v>
      </c>
      <c r="O75" s="269" t="s">
        <v>43</v>
      </c>
    </row>
    <row r="76" spans="2:17" ht="18.95" customHeight="1">
      <c r="B76" s="269" t="s">
        <v>409</v>
      </c>
      <c r="C76" s="530"/>
      <c r="D76" s="269"/>
      <c r="E76" s="269"/>
      <c r="F76" s="269"/>
      <c r="G76" s="531"/>
      <c r="H76" s="269"/>
      <c r="I76" s="269"/>
      <c r="J76" s="541"/>
      <c r="K76" s="531"/>
      <c r="L76" s="269"/>
      <c r="M76" s="535" t="s">
        <v>14</v>
      </c>
      <c r="N76" s="2374">
        <f>+VLOOKUP('NO DELETE'!$I$1,'NO DELETE'!$A$4:$N$18,12)</f>
        <v>1020</v>
      </c>
      <c r="O76" s="269" t="s">
        <v>43</v>
      </c>
    </row>
    <row r="77" spans="2:17" ht="18.95" customHeight="1">
      <c r="B77" s="269"/>
      <c r="C77" s="530"/>
      <c r="D77" s="531"/>
      <c r="E77" s="532"/>
      <c r="F77" s="269" t="s">
        <v>410</v>
      </c>
      <c r="G77" s="531"/>
      <c r="H77" s="269"/>
      <c r="I77" s="269"/>
      <c r="J77" s="533"/>
      <c r="K77" s="531"/>
      <c r="L77" s="269"/>
      <c r="M77" s="535" t="s">
        <v>14</v>
      </c>
      <c r="N77" s="2375">
        <f>SUM(N71:N76)</f>
        <v>8738.6965500000006</v>
      </c>
      <c r="O77" s="269" t="s">
        <v>43</v>
      </c>
      <c r="Q77" s="544"/>
    </row>
    <row r="78" spans="2:17" ht="18.95" customHeight="1" thickBot="1">
      <c r="C78" s="530"/>
      <c r="D78" s="542" t="str">
        <f>+"... ค่างานต้นทุนวางท่อ "&amp;VLOOKUP('NO DELETE'!$I$1,'NO DELETE'!$A$4:$C$18,2)&amp;"ต่อ 1 เมตร"</f>
        <v>... ค่างานต้นทุนวางท่อ  ขนาด Dia. 2 - 1.00 ม. x 1.00 ม.ต่อ 1 เมตร</v>
      </c>
      <c r="E78" s="269"/>
      <c r="F78" s="269"/>
      <c r="G78" s="531"/>
      <c r="H78" s="269"/>
      <c r="I78" s="269"/>
      <c r="J78" s="533"/>
      <c r="K78" s="531"/>
      <c r="L78" s="269"/>
      <c r="M78" s="535" t="s">
        <v>14</v>
      </c>
      <c r="N78" s="543">
        <f>+ROUND(N77,)</f>
        <v>8739</v>
      </c>
      <c r="O78" s="269" t="s">
        <v>43</v>
      </c>
      <c r="Q78" s="544"/>
    </row>
    <row r="79" spans="2:17" ht="18.95" customHeight="1" thickTop="1">
      <c r="B79" s="529" t="str">
        <f>+"5.3 ท่อ คสล."&amp;VLOOKUP('NO DELETE'!$J$1,'NO DELETE'!$A$4:$G$18,2)</f>
        <v>5.3 ท่อ คสล. ขนาด Dia. 1 - 1.00 ม. x 1.00 ม.</v>
      </c>
      <c r="C79" s="530"/>
      <c r="D79" s="531"/>
      <c r="E79" s="269"/>
      <c r="F79" s="269"/>
      <c r="G79" s="531"/>
      <c r="H79" s="269"/>
      <c r="I79" s="269"/>
      <c r="J79" s="533"/>
      <c r="K79" s="531"/>
      <c r="L79" s="269"/>
      <c r="M79" s="537"/>
      <c r="N79" s="534"/>
      <c r="O79" s="269"/>
    </row>
    <row r="80" spans="2:17" ht="18.95" customHeight="1">
      <c r="B80" s="269" t="s">
        <v>405</v>
      </c>
      <c r="C80" s="530"/>
      <c r="D80" s="269"/>
      <c r="E80" s="269"/>
      <c r="F80" s="269"/>
      <c r="G80" s="531"/>
      <c r="H80" s="269"/>
      <c r="I80" s="269"/>
      <c r="J80" s="533"/>
      <c r="K80" s="531"/>
      <c r="L80" s="269"/>
      <c r="M80" s="535" t="s">
        <v>14</v>
      </c>
      <c r="N80" s="2374">
        <f>+VLOOKUP('NO DELETE'!$J$1,'NO DELETE'!$A$4:$N$18,8)</f>
        <v>2508.0659999999998</v>
      </c>
      <c r="O80" s="269" t="s">
        <v>406</v>
      </c>
    </row>
    <row r="81" spans="2:15" ht="18.95" customHeight="1">
      <c r="B81" s="269" t="s">
        <v>2077</v>
      </c>
      <c r="C81" s="530"/>
      <c r="D81" s="269"/>
      <c r="E81" s="537" t="s">
        <v>14</v>
      </c>
      <c r="F81" s="532">
        <f>+VLOOKUP('NO DELETE'!$J$1,'NO DELETE'!$A$4:$N$18,13)</f>
        <v>2.766</v>
      </c>
      <c r="G81" s="538" t="s">
        <v>262</v>
      </c>
      <c r="H81" s="532">
        <f>+'S2'!$BF$38</f>
        <v>20.92</v>
      </c>
      <c r="I81" s="533" t="s">
        <v>43</v>
      </c>
      <c r="J81" s="533"/>
      <c r="K81" s="531"/>
      <c r="L81" s="269"/>
      <c r="M81" s="535" t="s">
        <v>14</v>
      </c>
      <c r="N81" s="2374">
        <f>+H81+F81</f>
        <v>23.686</v>
      </c>
      <c r="O81" s="269" t="s">
        <v>43</v>
      </c>
    </row>
    <row r="82" spans="2:15" ht="18.95" customHeight="1">
      <c r="B82" s="269" t="s">
        <v>407</v>
      </c>
      <c r="C82" s="530"/>
      <c r="E82" s="537" t="s">
        <v>14</v>
      </c>
      <c r="F82" s="532">
        <f>+VLOOKUP('NO DELETE'!$J$1,'NO DELETE'!$A$4:$G$18,5)</f>
        <v>2.1440000000000001</v>
      </c>
      <c r="G82" s="538" t="s">
        <v>262</v>
      </c>
      <c r="H82" s="539">
        <f>+H73</f>
        <v>291.43</v>
      </c>
      <c r="I82" s="533" t="s">
        <v>43</v>
      </c>
      <c r="J82" s="533"/>
      <c r="K82" s="531"/>
      <c r="L82" s="269"/>
      <c r="M82" s="535" t="s">
        <v>14</v>
      </c>
      <c r="N82" s="2375">
        <f>+H82*F82</f>
        <v>624.82592</v>
      </c>
      <c r="O82" s="269" t="s">
        <v>43</v>
      </c>
    </row>
    <row r="83" spans="2:15" ht="18.95" customHeight="1">
      <c r="B83" s="540" t="s">
        <v>1404</v>
      </c>
      <c r="C83" s="530"/>
      <c r="E83" s="537" t="s">
        <v>14</v>
      </c>
      <c r="F83" s="532">
        <f>+VLOOKUP('NO DELETE'!$J$1,'NO DELETE'!$A$4:$G$18,6)</f>
        <v>0.27300000000000002</v>
      </c>
      <c r="G83" s="538" t="s">
        <v>262</v>
      </c>
      <c r="H83" s="539">
        <f>+H74</f>
        <v>2082</v>
      </c>
      <c r="I83" s="533" t="s">
        <v>43</v>
      </c>
      <c r="J83" s="533"/>
      <c r="K83" s="531"/>
      <c r="L83" s="269"/>
      <c r="M83" s="535" t="s">
        <v>14</v>
      </c>
      <c r="N83" s="2375">
        <f>+H83*F83</f>
        <v>568.38600000000008</v>
      </c>
      <c r="O83" s="269" t="s">
        <v>43</v>
      </c>
    </row>
    <row r="84" spans="2:15" ht="18.95" customHeight="1">
      <c r="B84" s="269" t="s">
        <v>408</v>
      </c>
      <c r="C84" s="530"/>
      <c r="E84" s="537" t="s">
        <v>14</v>
      </c>
      <c r="F84" s="532">
        <f>+VLOOKUP('NO DELETE'!$J$1,'NO DELETE'!$A$4:$G$18,7)</f>
        <v>0.02</v>
      </c>
      <c r="G84" s="538" t="s">
        <v>262</v>
      </c>
      <c r="H84" s="539">
        <f>+H75</f>
        <v>2220</v>
      </c>
      <c r="I84" s="533" t="s">
        <v>43</v>
      </c>
      <c r="J84" s="533"/>
      <c r="K84" s="531"/>
      <c r="L84" s="269"/>
      <c r="M84" s="535" t="s">
        <v>14</v>
      </c>
      <c r="N84" s="2375">
        <f>+H84*F84</f>
        <v>44.4</v>
      </c>
      <c r="O84" s="269" t="s">
        <v>43</v>
      </c>
    </row>
    <row r="85" spans="2:15" ht="18.95" customHeight="1">
      <c r="B85" s="269" t="s">
        <v>409</v>
      </c>
      <c r="C85" s="530"/>
      <c r="D85" s="269"/>
      <c r="E85" s="269"/>
      <c r="F85" s="269"/>
      <c r="G85" s="531"/>
      <c r="H85" s="269"/>
      <c r="I85" s="269"/>
      <c r="J85" s="541"/>
      <c r="K85" s="531"/>
      <c r="L85" s="269"/>
      <c r="M85" s="535" t="s">
        <v>14</v>
      </c>
      <c r="N85" s="2374">
        <f>+VLOOKUP('NO DELETE'!$J$1,'NO DELETE'!$A$4:$N$18,12)</f>
        <v>510</v>
      </c>
      <c r="O85" s="269" t="s">
        <v>43</v>
      </c>
    </row>
    <row r="86" spans="2:15" ht="18.95" customHeight="1">
      <c r="B86" s="269"/>
      <c r="C86" s="530"/>
      <c r="D86" s="531"/>
      <c r="E86" s="532"/>
      <c r="F86" s="269" t="s">
        <v>410</v>
      </c>
      <c r="G86" s="531"/>
      <c r="H86" s="269"/>
      <c r="I86" s="269"/>
      <c r="J86" s="533"/>
      <c r="K86" s="531"/>
      <c r="L86" s="269"/>
      <c r="M86" s="535" t="s">
        <v>14</v>
      </c>
      <c r="N86" s="2375">
        <f>SUM(N80:N85)</f>
        <v>4279.3639199999998</v>
      </c>
      <c r="O86" s="269" t="s">
        <v>43</v>
      </c>
    </row>
    <row r="87" spans="2:15" ht="18.95" customHeight="1" thickBot="1">
      <c r="C87" s="530"/>
      <c r="D87" s="542" t="str">
        <f>+"... ค่างานต้นทุนวางท่อ "&amp;VLOOKUP('NO DELETE'!$J$1,'NO DELETE'!$A$4:$C$18,2)&amp;"ต่อ 1 เมตร"</f>
        <v>... ค่างานต้นทุนวางท่อ  ขนาด Dia. 1 - 1.00 ม. x 1.00 ม.ต่อ 1 เมตร</v>
      </c>
      <c r="E87" s="269"/>
      <c r="F87" s="269"/>
      <c r="G87" s="531"/>
      <c r="H87" s="269"/>
      <c r="I87" s="269"/>
      <c r="J87" s="533"/>
      <c r="K87" s="531"/>
      <c r="L87" s="269"/>
      <c r="M87" s="535" t="s">
        <v>14</v>
      </c>
      <c r="N87" s="543">
        <f>+ROUND(N86,)</f>
        <v>4279</v>
      </c>
      <c r="O87" s="269" t="s">
        <v>43</v>
      </c>
    </row>
    <row r="88" spans="2:15" ht="18.95" customHeight="1" thickTop="1">
      <c r="B88" s="529" t="str">
        <f>+"5.4 ท่อ คสล."&amp;VLOOKUP('NO DELETE'!$K$1,'NO DELETE'!$A$4:$G$18,2)</f>
        <v>5.4 ท่อ คสล. ขนาด Dia. 1 - 1.20 ม. x 1.00 ม.</v>
      </c>
      <c r="C88" s="530"/>
      <c r="D88" s="531"/>
      <c r="E88" s="269"/>
      <c r="F88" s="269"/>
      <c r="G88" s="531"/>
      <c r="H88" s="269"/>
      <c r="I88" s="269"/>
      <c r="J88" s="533"/>
      <c r="K88" s="531"/>
      <c r="L88" s="269"/>
      <c r="M88" s="537"/>
      <c r="N88" s="534"/>
      <c r="O88" s="269"/>
    </row>
    <row r="89" spans="2:15" ht="18.95" customHeight="1">
      <c r="B89" s="269" t="s">
        <v>405</v>
      </c>
      <c r="C89" s="530"/>
      <c r="D89" s="269"/>
      <c r="E89" s="269"/>
      <c r="F89" s="269"/>
      <c r="G89" s="531"/>
      <c r="H89" s="269"/>
      <c r="I89" s="269"/>
      <c r="J89" s="533"/>
      <c r="K89" s="531"/>
      <c r="L89" s="269"/>
      <c r="M89" s="535" t="s">
        <v>14</v>
      </c>
      <c r="N89" s="2374">
        <f>+VLOOKUP('NO DELETE'!$K$1,'NO DELETE'!$A$4:$N$18,8)</f>
        <v>3585.0825</v>
      </c>
      <c r="O89" s="269" t="s">
        <v>406</v>
      </c>
    </row>
    <row r="90" spans="2:15" ht="18.95" customHeight="1">
      <c r="B90" s="269" t="s">
        <v>2077</v>
      </c>
      <c r="C90" s="530"/>
      <c r="D90" s="269"/>
      <c r="E90" s="537" t="s">
        <v>14</v>
      </c>
      <c r="F90" s="532">
        <f>+VLOOKUP('NO DELETE'!$K$1,'NO DELETE'!$A$4:$N$18,13)</f>
        <v>3.5880000000000001</v>
      </c>
      <c r="G90" s="538" t="s">
        <v>262</v>
      </c>
      <c r="H90" s="532">
        <f>+'S2'!$BF$38</f>
        <v>20.92</v>
      </c>
      <c r="I90" s="533" t="s">
        <v>43</v>
      </c>
      <c r="J90" s="533"/>
      <c r="K90" s="531"/>
      <c r="L90" s="269"/>
      <c r="M90" s="535" t="s">
        <v>14</v>
      </c>
      <c r="N90" s="2374">
        <f>+H90+F90</f>
        <v>24.508000000000003</v>
      </c>
      <c r="O90" s="269" t="s">
        <v>43</v>
      </c>
    </row>
    <row r="91" spans="2:15" ht="18.95" customHeight="1">
      <c r="B91" s="269" t="s">
        <v>407</v>
      </c>
      <c r="C91" s="530"/>
      <c r="E91" s="537" t="s">
        <v>14</v>
      </c>
      <c r="F91" s="532">
        <f>+VLOOKUP('NO DELETE'!$K$1,'NO DELETE'!$A$4:$G$18,5)</f>
        <v>2.5670000000000002</v>
      </c>
      <c r="G91" s="538" t="s">
        <v>262</v>
      </c>
      <c r="H91" s="539">
        <f>+H82</f>
        <v>291.43</v>
      </c>
      <c r="I91" s="533" t="s">
        <v>43</v>
      </c>
      <c r="J91" s="533"/>
      <c r="K91" s="531"/>
      <c r="L91" s="269"/>
      <c r="M91" s="535" t="s">
        <v>14</v>
      </c>
      <c r="N91" s="2375">
        <f>+H91*F91</f>
        <v>748.10081000000002</v>
      </c>
      <c r="O91" s="269" t="s">
        <v>43</v>
      </c>
    </row>
    <row r="92" spans="2:15" ht="18.95" customHeight="1">
      <c r="B92" s="540" t="s">
        <v>1404</v>
      </c>
      <c r="C92" s="530"/>
      <c r="E92" s="537" t="s">
        <v>14</v>
      </c>
      <c r="F92" s="532">
        <f>+VLOOKUP('NO DELETE'!$K$1,'NO DELETE'!$A$4:$G$18,6)</f>
        <v>0.308</v>
      </c>
      <c r="G92" s="538" t="s">
        <v>262</v>
      </c>
      <c r="H92" s="539">
        <f>+H83</f>
        <v>2082</v>
      </c>
      <c r="I92" s="533" t="s">
        <v>43</v>
      </c>
      <c r="J92" s="533"/>
      <c r="K92" s="531"/>
      <c r="L92" s="269"/>
      <c r="M92" s="535" t="s">
        <v>14</v>
      </c>
      <c r="N92" s="2375">
        <f>+H92*F92</f>
        <v>641.25599999999997</v>
      </c>
      <c r="O92" s="269" t="s">
        <v>43</v>
      </c>
    </row>
    <row r="93" spans="2:15" ht="18.95" customHeight="1">
      <c r="B93" s="269" t="s">
        <v>408</v>
      </c>
      <c r="C93" s="530"/>
      <c r="E93" s="537" t="s">
        <v>14</v>
      </c>
      <c r="F93" s="532">
        <f>+VLOOKUP('NO DELETE'!$K$1,'NO DELETE'!$A$4:$G$18,7)</f>
        <v>0.02</v>
      </c>
      <c r="G93" s="538" t="s">
        <v>262</v>
      </c>
      <c r="H93" s="539">
        <f>+H84</f>
        <v>2220</v>
      </c>
      <c r="I93" s="533" t="s">
        <v>43</v>
      </c>
      <c r="J93" s="533"/>
      <c r="K93" s="531"/>
      <c r="L93" s="269"/>
      <c r="M93" s="535" t="s">
        <v>14</v>
      </c>
      <c r="N93" s="2375">
        <f>+H93*F93</f>
        <v>44.4</v>
      </c>
      <c r="O93" s="269" t="s">
        <v>43</v>
      </c>
    </row>
    <row r="94" spans="2:15" ht="18.95" customHeight="1">
      <c r="B94" s="269" t="s">
        <v>409</v>
      </c>
      <c r="C94" s="530"/>
      <c r="D94" s="269"/>
      <c r="E94" s="269"/>
      <c r="F94" s="269"/>
      <c r="G94" s="531"/>
      <c r="H94" s="269"/>
      <c r="I94" s="269"/>
      <c r="J94" s="541"/>
      <c r="K94" s="531"/>
      <c r="L94" s="269"/>
      <c r="M94" s="535" t="s">
        <v>14</v>
      </c>
      <c r="N94" s="2374">
        <f>+VLOOKUP('NO DELETE'!$K$1,'NO DELETE'!$A$4:$N$18,12)</f>
        <v>575</v>
      </c>
      <c r="O94" s="269" t="s">
        <v>43</v>
      </c>
    </row>
    <row r="95" spans="2:15" ht="18.95" customHeight="1">
      <c r="B95" s="269"/>
      <c r="C95" s="530"/>
      <c r="D95" s="531"/>
      <c r="E95" s="532"/>
      <c r="F95" s="269" t="s">
        <v>410</v>
      </c>
      <c r="G95" s="531"/>
      <c r="H95" s="269"/>
      <c r="I95" s="269"/>
      <c r="J95" s="533"/>
      <c r="K95" s="531"/>
      <c r="L95" s="269"/>
      <c r="M95" s="535" t="s">
        <v>14</v>
      </c>
      <c r="N95" s="2375">
        <f>SUM(N89:N94)</f>
        <v>5618.3473100000001</v>
      </c>
      <c r="O95" s="269" t="s">
        <v>43</v>
      </c>
    </row>
    <row r="96" spans="2:15" ht="18.95" customHeight="1" thickBot="1">
      <c r="C96" s="530"/>
      <c r="D96" s="542" t="str">
        <f>+"... ค่างานต้นทุนวางท่อ "&amp;VLOOKUP('NO DELETE'!$K$1,'NO DELETE'!$A$4:$C$18,2)&amp;"ต่อ 1 เมตร"</f>
        <v>... ค่างานต้นทุนวางท่อ  ขนาด Dia. 1 - 1.20 ม. x 1.00 ม.ต่อ 1 เมตร</v>
      </c>
      <c r="E96" s="269"/>
      <c r="F96" s="269"/>
      <c r="G96" s="531"/>
      <c r="H96" s="269"/>
      <c r="I96" s="269"/>
      <c r="J96" s="533"/>
      <c r="K96" s="531"/>
      <c r="L96" s="269"/>
      <c r="M96" s="535" t="s">
        <v>14</v>
      </c>
      <c r="N96" s="543">
        <f>+ROUND(N95,)</f>
        <v>5618</v>
      </c>
      <c r="O96" s="269" t="s">
        <v>43</v>
      </c>
    </row>
    <row r="97" spans="2:17" ht="18.95" customHeight="1" thickTop="1">
      <c r="B97" s="529" t="str">
        <f>+"5.5 ท่อ คสล."&amp;VLOOKUP('NO DELETE'!$L$1,'NO DELETE'!$A$4:$G$18,2)</f>
        <v>5.5 ท่อ คสล. ขนาด Dia. 1 - 1.50 ม. x 1.00 ม.</v>
      </c>
      <c r="C97" s="530"/>
      <c r="D97" s="531"/>
      <c r="E97" s="269"/>
      <c r="F97" s="269"/>
      <c r="G97" s="531"/>
      <c r="H97" s="269"/>
      <c r="I97" s="269"/>
      <c r="J97" s="533"/>
      <c r="K97" s="531"/>
      <c r="L97" s="269"/>
      <c r="M97" s="537"/>
      <c r="N97" s="534"/>
      <c r="O97" s="269"/>
    </row>
    <row r="98" spans="2:17" ht="18.95" customHeight="1">
      <c r="B98" s="269" t="s">
        <v>405</v>
      </c>
      <c r="C98" s="530"/>
      <c r="D98" s="269"/>
      <c r="E98" s="269"/>
      <c r="F98" s="269"/>
      <c r="G98" s="531"/>
      <c r="H98" s="269"/>
      <c r="I98" s="269"/>
      <c r="J98" s="533"/>
      <c r="K98" s="531"/>
      <c r="L98" s="269"/>
      <c r="M98" s="535" t="s">
        <v>14</v>
      </c>
      <c r="N98" s="2374">
        <f>+VLOOKUP('NO DELETE'!$L$1,'NO DELETE'!$A$4:$N$18,8)</f>
        <v>4696.1319999999996</v>
      </c>
      <c r="O98" s="269" t="s">
        <v>406</v>
      </c>
    </row>
    <row r="99" spans="2:17" ht="18.95" customHeight="1">
      <c r="B99" s="269" t="s">
        <v>2077</v>
      </c>
      <c r="C99" s="530"/>
      <c r="D99" s="269"/>
      <c r="E99" s="537" t="s">
        <v>14</v>
      </c>
      <c r="F99" s="532">
        <f>+VLOOKUP('NO DELETE'!$L$1,'NO DELETE'!$A$4:$N$18,13)</f>
        <v>5.04</v>
      </c>
      <c r="G99" s="538" t="s">
        <v>262</v>
      </c>
      <c r="H99" s="532">
        <f>+'S2'!$BF$38</f>
        <v>20.92</v>
      </c>
      <c r="I99" s="533" t="s">
        <v>43</v>
      </c>
      <c r="J99" s="533"/>
      <c r="K99" s="531"/>
      <c r="L99" s="269"/>
      <c r="M99" s="535" t="s">
        <v>14</v>
      </c>
      <c r="N99" s="2374">
        <f>+H99+F99</f>
        <v>25.96</v>
      </c>
      <c r="O99" s="269" t="s">
        <v>43</v>
      </c>
    </row>
    <row r="100" spans="2:17" ht="18.95" customHeight="1">
      <c r="B100" s="269" t="s">
        <v>407</v>
      </c>
      <c r="C100" s="530"/>
      <c r="E100" s="537" t="s">
        <v>14</v>
      </c>
      <c r="F100" s="532">
        <f>+VLOOKUP('NO DELETE'!$L$1,'NO DELETE'!$A$4:$G$18,5)</f>
        <v>3.2610000000000001</v>
      </c>
      <c r="G100" s="538" t="s">
        <v>262</v>
      </c>
      <c r="H100" s="539">
        <f>+H91</f>
        <v>291.43</v>
      </c>
      <c r="I100" s="533" t="s">
        <v>43</v>
      </c>
      <c r="J100" s="533"/>
      <c r="K100" s="531"/>
      <c r="L100" s="269"/>
      <c r="M100" s="535" t="s">
        <v>14</v>
      </c>
      <c r="N100" s="2375">
        <f>+H100*F100</f>
        <v>950.35323000000005</v>
      </c>
      <c r="O100" s="269" t="s">
        <v>43</v>
      </c>
    </row>
    <row r="101" spans="2:17" ht="18.95" customHeight="1">
      <c r="B101" s="540" t="s">
        <v>1404</v>
      </c>
      <c r="C101" s="530"/>
      <c r="E101" s="537" t="s">
        <v>14</v>
      </c>
      <c r="F101" s="532">
        <f>+VLOOKUP('NO DELETE'!$L$1,'NO DELETE'!$A$4:$G$18,6)</f>
        <v>0.36</v>
      </c>
      <c r="G101" s="538" t="s">
        <v>262</v>
      </c>
      <c r="H101" s="539">
        <f>+H92</f>
        <v>2082</v>
      </c>
      <c r="I101" s="533" t="s">
        <v>43</v>
      </c>
      <c r="J101" s="533"/>
      <c r="K101" s="531"/>
      <c r="L101" s="269"/>
      <c r="M101" s="535" t="s">
        <v>14</v>
      </c>
      <c r="N101" s="2375">
        <f>+H101*F101</f>
        <v>749.52</v>
      </c>
      <c r="O101" s="269" t="s">
        <v>43</v>
      </c>
    </row>
    <row r="102" spans="2:17" ht="18.95" customHeight="1">
      <c r="B102" s="269" t="s">
        <v>408</v>
      </c>
      <c r="C102" s="530"/>
      <c r="E102" s="537" t="s">
        <v>14</v>
      </c>
      <c r="F102" s="532">
        <f>+VLOOKUP('NO DELETE'!$L$1,'NO DELETE'!$A$4:$G$18,7)</f>
        <v>0.03</v>
      </c>
      <c r="G102" s="538" t="s">
        <v>262</v>
      </c>
      <c r="H102" s="539">
        <f>+H93</f>
        <v>2220</v>
      </c>
      <c r="I102" s="533" t="s">
        <v>43</v>
      </c>
      <c r="J102" s="533"/>
      <c r="K102" s="531"/>
      <c r="L102" s="269"/>
      <c r="M102" s="535" t="s">
        <v>14</v>
      </c>
      <c r="N102" s="2375">
        <f>+H102*F102</f>
        <v>66.599999999999994</v>
      </c>
      <c r="O102" s="269" t="s">
        <v>43</v>
      </c>
    </row>
    <row r="103" spans="2:17" ht="18.95" customHeight="1">
      <c r="B103" s="269" t="s">
        <v>409</v>
      </c>
      <c r="C103" s="530"/>
      <c r="D103" s="269"/>
      <c r="E103" s="269"/>
      <c r="F103" s="269"/>
      <c r="G103" s="531"/>
      <c r="H103" s="269"/>
      <c r="I103" s="269"/>
      <c r="J103" s="541"/>
      <c r="K103" s="531"/>
      <c r="L103" s="269"/>
      <c r="M103" s="535" t="s">
        <v>14</v>
      </c>
      <c r="N103" s="2374">
        <f>+VLOOKUP('NO DELETE'!$L$1,'NO DELETE'!$A$4:$N$18,12)</f>
        <v>635</v>
      </c>
      <c r="O103" s="269" t="s">
        <v>43</v>
      </c>
    </row>
    <row r="104" spans="2:17" ht="18.95" customHeight="1">
      <c r="B104" s="269"/>
      <c r="C104" s="530"/>
      <c r="D104" s="531"/>
      <c r="E104" s="532"/>
      <c r="F104" s="269" t="s">
        <v>410</v>
      </c>
      <c r="G104" s="531"/>
      <c r="H104" s="269"/>
      <c r="I104" s="269"/>
      <c r="J104" s="533"/>
      <c r="K104" s="531"/>
      <c r="L104" s="269"/>
      <c r="M104" s="535" t="s">
        <v>14</v>
      </c>
      <c r="N104" s="2375">
        <f>SUM(N98:N103)</f>
        <v>7123.5652300000002</v>
      </c>
      <c r="O104" s="269" t="s">
        <v>43</v>
      </c>
    </row>
    <row r="105" spans="2:17" ht="18.95" customHeight="1" thickBot="1">
      <c r="C105" s="530"/>
      <c r="D105" s="542" t="str">
        <f>+"... ค่างานต้นทุนวางท่อ "&amp;VLOOKUP('NO DELETE'!$L$1,'NO DELETE'!$A$4:$C$18,2)&amp;"ต่อ 1 เมตร"</f>
        <v>... ค่างานต้นทุนวางท่อ  ขนาด Dia. 1 - 1.50 ม. x 1.00 ม.ต่อ 1 เมตร</v>
      </c>
      <c r="E105" s="269"/>
      <c r="F105" s="269"/>
      <c r="G105" s="531"/>
      <c r="H105" s="269"/>
      <c r="I105" s="269"/>
      <c r="J105" s="533"/>
      <c r="K105" s="531"/>
      <c r="L105" s="269"/>
      <c r="M105" s="535" t="s">
        <v>14</v>
      </c>
      <c r="N105" s="543">
        <f>+ROUND(N104,)</f>
        <v>7124</v>
      </c>
      <c r="O105" s="269" t="s">
        <v>43</v>
      </c>
    </row>
    <row r="106" spans="2:17" ht="18.95" customHeight="1" thickTop="1">
      <c r="B106" s="524" t="s">
        <v>548</v>
      </c>
      <c r="C106" s="525"/>
      <c r="D106" s="270"/>
      <c r="E106" s="270"/>
      <c r="F106" s="270"/>
      <c r="G106" s="526"/>
      <c r="H106" s="527"/>
      <c r="I106" s="270"/>
      <c r="J106" s="528"/>
      <c r="K106" s="526"/>
      <c r="L106" s="270"/>
      <c r="M106" s="270"/>
      <c r="N106" s="527"/>
      <c r="O106" s="270"/>
      <c r="P106" s="270"/>
    </row>
    <row r="107" spans="2:17" ht="18.95" customHeight="1">
      <c r="B107" s="529" t="str">
        <f>+"6.1 กำแพงปากท่อ"&amp;VLOOKUP('NO DELETE'!$J$20,'NO DELETE'!$A$4:$N$18,2)</f>
        <v>6.1 กำแพงปากท่อ ขนาด Dia. 1 - 1.00 ม. x 1.00 ม.</v>
      </c>
      <c r="C107" s="530"/>
      <c r="D107" s="269"/>
      <c r="E107" s="269"/>
      <c r="F107" s="269"/>
      <c r="G107" s="269"/>
      <c r="H107" s="534"/>
      <c r="I107" s="269"/>
      <c r="J107" s="533"/>
      <c r="K107" s="531"/>
      <c r="L107" s="269"/>
      <c r="M107" s="269"/>
      <c r="N107" s="534"/>
      <c r="O107" s="269"/>
      <c r="P107" s="269"/>
    </row>
    <row r="108" spans="2:17" ht="18.95" customHeight="1">
      <c r="B108" s="269" t="s">
        <v>1405</v>
      </c>
      <c r="C108" s="530"/>
      <c r="D108" s="269"/>
      <c r="E108" s="537" t="s">
        <v>14</v>
      </c>
      <c r="F108" s="2377">
        <f>+VLOOKUP('NO DELETE'!$J$20,'NO DELETE'!$A$23:$N$38,5)</f>
        <v>1.9129999999999998</v>
      </c>
      <c r="G108" s="269" t="s">
        <v>477</v>
      </c>
      <c r="H108" s="539">
        <f>N52</f>
        <v>2118</v>
      </c>
      <c r="I108" s="533" t="s">
        <v>43</v>
      </c>
      <c r="J108" s="533"/>
      <c r="K108" s="531"/>
      <c r="L108" s="269"/>
      <c r="M108" s="535" t="s">
        <v>14</v>
      </c>
      <c r="N108" s="2374">
        <f>H108*F108</f>
        <v>4051.7339999999995</v>
      </c>
      <c r="O108" s="269" t="s">
        <v>43</v>
      </c>
      <c r="P108" s="269"/>
      <c r="Q108" s="544"/>
    </row>
    <row r="109" spans="2:17" ht="18.95" customHeight="1">
      <c r="B109" s="269" t="s">
        <v>1246</v>
      </c>
      <c r="C109" s="530"/>
      <c r="D109" s="269"/>
      <c r="E109" s="537" t="s">
        <v>14</v>
      </c>
      <c r="F109" s="532">
        <f>+VLOOKUP('NO DELETE'!$J$20,'NO DELETE'!$A$23:$N$38,6)</f>
        <v>44.380400000000002</v>
      </c>
      <c r="G109" s="269" t="s">
        <v>549</v>
      </c>
      <c r="H109" s="536">
        <f>ROUND((H17+N17*แหล่งวัสดุ!U69)/1000,2)</f>
        <v>19.309999999999999</v>
      </c>
      <c r="I109" s="533" t="s">
        <v>43</v>
      </c>
      <c r="J109" s="533"/>
      <c r="K109" s="531"/>
      <c r="L109" s="269"/>
      <c r="M109" s="535" t="s">
        <v>14</v>
      </c>
      <c r="N109" s="2374">
        <f>H109*F109</f>
        <v>856.98552399999994</v>
      </c>
      <c r="O109" s="269" t="s">
        <v>43</v>
      </c>
      <c r="P109" s="269"/>
      <c r="Q109" s="544"/>
    </row>
    <row r="110" spans="2:17" ht="18.95" customHeight="1">
      <c r="B110" s="269" t="s">
        <v>1247</v>
      </c>
      <c r="C110" s="530"/>
      <c r="D110" s="269"/>
      <c r="E110" s="537" t="s">
        <v>14</v>
      </c>
      <c r="F110" s="532">
        <f>+VLOOKUP('NO DELETE'!$J$20,'NO DELETE'!$A$23:$N$38,7)</f>
        <v>8.5960000000000001</v>
      </c>
      <c r="G110" s="269" t="s">
        <v>549</v>
      </c>
      <c r="H110" s="536">
        <f>ROUND((H18+N18*แหล่งวัสดุ!$U$69)/1000,2)</f>
        <v>19.13</v>
      </c>
      <c r="I110" s="533" t="s">
        <v>43</v>
      </c>
      <c r="J110" s="533"/>
      <c r="K110" s="531"/>
      <c r="L110" s="269"/>
      <c r="M110" s="535" t="s">
        <v>14</v>
      </c>
      <c r="N110" s="2374">
        <f>H110*F110</f>
        <v>164.44147999999998</v>
      </c>
      <c r="O110" s="269" t="s">
        <v>43</v>
      </c>
      <c r="P110" s="269"/>
      <c r="Q110" s="544"/>
    </row>
    <row r="111" spans="2:17" ht="18.95" customHeight="1">
      <c r="B111" s="540" t="s">
        <v>265</v>
      </c>
      <c r="C111" s="530"/>
      <c r="D111" s="269"/>
      <c r="E111" s="537" t="s">
        <v>14</v>
      </c>
      <c r="F111" s="532">
        <f>+VLOOKUP('NO DELETE'!$J$20,'NO DELETE'!$A$23:$N$38,8)</f>
        <v>1.32</v>
      </c>
      <c r="G111" s="269" t="s">
        <v>549</v>
      </c>
      <c r="H111" s="539">
        <f>H19</f>
        <v>46.73</v>
      </c>
      <c r="I111" s="533" t="s">
        <v>43</v>
      </c>
      <c r="J111" s="533"/>
      <c r="K111" s="531"/>
      <c r="L111" s="269"/>
      <c r="M111" s="535" t="s">
        <v>14</v>
      </c>
      <c r="N111" s="2374">
        <f>H111*F111</f>
        <v>61.683599999999998</v>
      </c>
      <c r="O111" s="269" t="s">
        <v>43</v>
      </c>
      <c r="P111" s="269"/>
      <c r="Q111" s="544"/>
    </row>
    <row r="112" spans="2:17" ht="18.95" customHeight="1">
      <c r="B112" s="540" t="s">
        <v>411</v>
      </c>
      <c r="C112" s="530"/>
      <c r="D112" s="269"/>
      <c r="E112" s="537" t="s">
        <v>14</v>
      </c>
      <c r="F112" s="532">
        <f>+VLOOKUP('NO DELETE'!$J$20,'NO DELETE'!$A$23:$N$38,9)</f>
        <v>6.72</v>
      </c>
      <c r="G112" s="269" t="s">
        <v>500</v>
      </c>
      <c r="H112" s="539">
        <f>N60</f>
        <v>351.3</v>
      </c>
      <c r="I112" s="533" t="s">
        <v>43</v>
      </c>
      <c r="J112" s="533"/>
      <c r="K112" s="531"/>
      <c r="L112" s="269"/>
      <c r="M112" s="535" t="s">
        <v>14</v>
      </c>
      <c r="N112" s="2374">
        <f>H112*F112</f>
        <v>2360.7359999999999</v>
      </c>
      <c r="O112" s="269" t="s">
        <v>43</v>
      </c>
      <c r="P112" s="269"/>
      <c r="Q112" s="544"/>
    </row>
    <row r="113" spans="2:17" ht="18.95" customHeight="1">
      <c r="B113" s="269" t="s">
        <v>2074</v>
      </c>
      <c r="C113" s="271"/>
      <c r="D113" s="269"/>
      <c r="E113" s="537" t="s">
        <v>14</v>
      </c>
      <c r="F113" s="2372">
        <f>+F109</f>
        <v>44.380400000000002</v>
      </c>
      <c r="G113" s="269" t="s">
        <v>549</v>
      </c>
      <c r="H113" s="539">
        <f>+'2.ต้นทุนถนน Con.'!I52</f>
        <v>4.0999999999999996</v>
      </c>
      <c r="I113" s="269" t="s">
        <v>502</v>
      </c>
      <c r="J113" s="269"/>
      <c r="K113" s="269"/>
      <c r="L113" s="269"/>
      <c r="M113" s="535" t="s">
        <v>14</v>
      </c>
      <c r="N113" s="2374">
        <f>ROUND(SUM(F113)*H113,2)</f>
        <v>181.96</v>
      </c>
      <c r="O113" s="269" t="s">
        <v>43</v>
      </c>
      <c r="P113" s="269"/>
    </row>
    <row r="114" spans="2:17" ht="18.95" customHeight="1">
      <c r="B114" s="269" t="s">
        <v>2073</v>
      </c>
      <c r="C114" s="269"/>
      <c r="D114" s="269"/>
      <c r="E114" s="537" t="s">
        <v>14</v>
      </c>
      <c r="F114" s="2372">
        <f>+F110</f>
        <v>8.5960000000000001</v>
      </c>
      <c r="G114" s="269" t="s">
        <v>549</v>
      </c>
      <c r="H114" s="539">
        <f>+'2.ต้นทุนถนน Con.'!I53</f>
        <v>3.3</v>
      </c>
      <c r="I114" s="269" t="s">
        <v>502</v>
      </c>
      <c r="J114" s="269"/>
      <c r="K114" s="269"/>
      <c r="L114" s="269"/>
      <c r="M114" s="535" t="s">
        <v>14</v>
      </c>
      <c r="N114" s="2374">
        <f>ROUND(SUM(F114)*H114,2)</f>
        <v>28.37</v>
      </c>
      <c r="O114" s="269" t="s">
        <v>43</v>
      </c>
      <c r="P114" s="269"/>
    </row>
    <row r="115" spans="2:17" ht="18.95" customHeight="1">
      <c r="B115" s="269" t="s">
        <v>550</v>
      </c>
      <c r="C115" s="271"/>
      <c r="D115" s="269"/>
      <c r="E115" s="537" t="s">
        <v>14</v>
      </c>
      <c r="F115" s="539">
        <f>+F112</f>
        <v>6.72</v>
      </c>
      <c r="G115" s="269" t="str">
        <f>+G112</f>
        <v>ตร.ม.  @</v>
      </c>
      <c r="H115" s="539">
        <f>แหล่งวัสดุ!V26</f>
        <v>133</v>
      </c>
      <c r="I115" s="269" t="s">
        <v>114</v>
      </c>
      <c r="J115" s="269"/>
      <c r="K115" s="269"/>
      <c r="L115" s="269"/>
      <c r="M115" s="535" t="s">
        <v>14</v>
      </c>
      <c r="N115" s="2374">
        <f>ROUND(F115*H115,2)</f>
        <v>893.76</v>
      </c>
      <c r="O115" s="269" t="s">
        <v>43</v>
      </c>
      <c r="P115" s="269"/>
    </row>
    <row r="116" spans="2:17" ht="18.95" customHeight="1">
      <c r="B116" s="540"/>
      <c r="C116" s="530"/>
      <c r="D116" s="269" t="s">
        <v>412</v>
      </c>
      <c r="E116" s="269"/>
      <c r="F116" s="269"/>
      <c r="G116" s="269"/>
      <c r="H116" s="269"/>
      <c r="I116" s="269"/>
      <c r="J116" s="533"/>
      <c r="K116" s="531"/>
      <c r="L116" s="269"/>
      <c r="M116" s="535" t="s">
        <v>14</v>
      </c>
      <c r="N116" s="2374">
        <f>ROUND(SUM(N108:N115),2)</f>
        <v>8599.67</v>
      </c>
      <c r="O116" s="269" t="s">
        <v>43</v>
      </c>
      <c r="P116" s="269"/>
    </row>
    <row r="117" spans="2:17" ht="18.95" customHeight="1" thickBot="1">
      <c r="C117" s="542" t="str">
        <f>"... ค่างานต้นทุน กำแพงปากท่อ "&amp;+VLOOKUP('NO DELETE'!$J$20,'NO DELETE'!$A$4:$N$18,2)&amp;" HW"</f>
        <v>... ค่างานต้นทุน กำแพงปากท่อ  ขนาด Dia. 1 - 1.00 ม. x 1.00 ม. HW</v>
      </c>
      <c r="D117" s="271"/>
      <c r="E117" s="269"/>
      <c r="F117" s="269"/>
      <c r="G117" s="269"/>
      <c r="H117" s="269"/>
      <c r="I117" s="269"/>
      <c r="J117" s="533"/>
      <c r="K117" s="531"/>
      <c r="L117" s="269"/>
      <c r="M117" s="535" t="s">
        <v>14</v>
      </c>
      <c r="N117" s="545">
        <f>ROUNDDOWN(N116,-1)</f>
        <v>8590</v>
      </c>
      <c r="O117" s="269" t="s">
        <v>43</v>
      </c>
      <c r="P117" s="269"/>
    </row>
    <row r="118" spans="2:17" ht="18.95" customHeight="1" thickTop="1" thickBot="1">
      <c r="C118" s="542" t="str">
        <f>"... ค่างานต้นทุน กำแพงปากท่อ "&amp;+VLOOKUP('NO DELETE'!$J$20,'NO DELETE'!$A$4:$N$18,2)&amp;" HW + EW "</f>
        <v xml:space="preserve">... ค่างานต้นทุน กำแพงปากท่อ  ขนาด Dia. 1 - 1.00 ม. x 1.00 ม. HW + EW </v>
      </c>
      <c r="D118" s="271"/>
      <c r="E118" s="269"/>
      <c r="F118" s="269"/>
      <c r="G118" s="269"/>
      <c r="H118" s="269"/>
      <c r="I118" s="269"/>
      <c r="J118" s="533"/>
      <c r="K118" s="531"/>
      <c r="L118" s="269"/>
      <c r="M118" s="535" t="s">
        <v>14</v>
      </c>
      <c r="N118" s="517">
        <f>N117*2</f>
        <v>17180</v>
      </c>
      <c r="O118" s="269" t="s">
        <v>43</v>
      </c>
      <c r="P118" s="269"/>
    </row>
    <row r="119" spans="2:17" ht="18.95" customHeight="1" thickTop="1">
      <c r="B119" s="529" t="str">
        <f>+"6.2 กำแพงปากท่อ"&amp;VLOOKUP('NO DELETE'!$K$20,'NO DELETE'!$A$4:$N$18,2)</f>
        <v>6.2 กำแพงปากท่อ ขนาด Dia. 2 - 1.00 ม. x 1.00 ม.</v>
      </c>
      <c r="C119" s="530"/>
      <c r="D119" s="269"/>
      <c r="E119" s="269"/>
      <c r="F119" s="269"/>
      <c r="G119" s="269"/>
      <c r="H119" s="534"/>
      <c r="I119" s="269"/>
      <c r="J119" s="533"/>
      <c r="K119" s="531"/>
      <c r="L119" s="269"/>
      <c r="M119" s="269"/>
      <c r="N119" s="534"/>
      <c r="O119" s="269"/>
      <c r="P119" s="269"/>
    </row>
    <row r="120" spans="2:17" ht="18.95" customHeight="1">
      <c r="B120" s="269" t="s">
        <v>1405</v>
      </c>
      <c r="C120" s="530"/>
      <c r="D120" s="269"/>
      <c r="E120" s="537" t="s">
        <v>14</v>
      </c>
      <c r="F120" s="532">
        <f>+VLOOKUP('NO DELETE'!$K$20,'NO DELETE'!$A$23:$N$38,5)</f>
        <v>3.222</v>
      </c>
      <c r="G120" s="269" t="s">
        <v>477</v>
      </c>
      <c r="H120" s="539">
        <f>H108</f>
        <v>2118</v>
      </c>
      <c r="I120" s="533" t="s">
        <v>43</v>
      </c>
      <c r="J120" s="533"/>
      <c r="K120" s="531"/>
      <c r="L120" s="269"/>
      <c r="M120" s="535" t="s">
        <v>14</v>
      </c>
      <c r="N120" s="2374">
        <f>H120*F120</f>
        <v>6824.1959999999999</v>
      </c>
      <c r="O120" s="269" t="s">
        <v>43</v>
      </c>
      <c r="P120" s="269"/>
      <c r="Q120" s="544"/>
    </row>
    <row r="121" spans="2:17" ht="18.95" customHeight="1">
      <c r="B121" s="269" t="s">
        <v>1246</v>
      </c>
      <c r="C121" s="530"/>
      <c r="D121" s="269"/>
      <c r="E121" s="537" t="s">
        <v>14</v>
      </c>
      <c r="F121" s="532">
        <f>+VLOOKUP('NO DELETE'!$K$20,'NO DELETE'!$A$23:$N$38,6)</f>
        <v>75.327299999999994</v>
      </c>
      <c r="G121" s="269" t="s">
        <v>549</v>
      </c>
      <c r="H121" s="539">
        <f>H109</f>
        <v>19.309999999999999</v>
      </c>
      <c r="I121" s="533" t="s">
        <v>43</v>
      </c>
      <c r="J121" s="533"/>
      <c r="K121" s="531"/>
      <c r="L121" s="269"/>
      <c r="M121" s="535" t="s">
        <v>14</v>
      </c>
      <c r="N121" s="2374">
        <f>H121*F121</f>
        <v>1454.5701629999999</v>
      </c>
      <c r="O121" s="269" t="s">
        <v>43</v>
      </c>
      <c r="P121" s="269"/>
    </row>
    <row r="122" spans="2:17" ht="18.95" customHeight="1">
      <c r="B122" s="269" t="s">
        <v>1247</v>
      </c>
      <c r="C122" s="530"/>
      <c r="D122" s="269"/>
      <c r="E122" s="537" t="s">
        <v>14</v>
      </c>
      <c r="F122" s="532">
        <f>+VLOOKUP('NO DELETE'!$K$20,'NO DELETE'!$A$23:$N$38,7)</f>
        <v>14.705</v>
      </c>
      <c r="G122" s="269" t="s">
        <v>549</v>
      </c>
      <c r="H122" s="539">
        <f>H110</f>
        <v>19.13</v>
      </c>
      <c r="I122" s="533" t="s">
        <v>43</v>
      </c>
      <c r="J122" s="533"/>
      <c r="K122" s="531"/>
      <c r="L122" s="269"/>
      <c r="M122" s="535" t="s">
        <v>14</v>
      </c>
      <c r="N122" s="2374">
        <f>H122*F122</f>
        <v>281.30664999999999</v>
      </c>
      <c r="O122" s="269" t="s">
        <v>43</v>
      </c>
      <c r="P122" s="269"/>
    </row>
    <row r="123" spans="2:17" ht="18.95" customHeight="1">
      <c r="B123" s="540" t="s">
        <v>265</v>
      </c>
      <c r="C123" s="530"/>
      <c r="D123" s="269"/>
      <c r="E123" s="537" t="s">
        <v>14</v>
      </c>
      <c r="F123" s="532">
        <f>+VLOOKUP('NO DELETE'!$K$20,'NO DELETE'!$A$23:$N$38,8)</f>
        <v>2.25</v>
      </c>
      <c r="G123" s="269" t="s">
        <v>549</v>
      </c>
      <c r="H123" s="539">
        <f>H111</f>
        <v>46.73</v>
      </c>
      <c r="I123" s="533" t="s">
        <v>43</v>
      </c>
      <c r="J123" s="533"/>
      <c r="K123" s="531"/>
      <c r="L123" s="269"/>
      <c r="M123" s="535" t="s">
        <v>14</v>
      </c>
      <c r="N123" s="2374">
        <f>H123*F123</f>
        <v>105.1425</v>
      </c>
      <c r="O123" s="269" t="s">
        <v>43</v>
      </c>
      <c r="P123" s="269"/>
    </row>
    <row r="124" spans="2:17" ht="18.95" customHeight="1">
      <c r="B124" s="540" t="s">
        <v>411</v>
      </c>
      <c r="C124" s="530"/>
      <c r="D124" s="269"/>
      <c r="E124" s="537" t="s">
        <v>14</v>
      </c>
      <c r="F124" s="532">
        <f>+VLOOKUP('NO DELETE'!$K$20,'NO DELETE'!$A$23:$N$38,9)</f>
        <v>10.08</v>
      </c>
      <c r="G124" s="269" t="s">
        <v>500</v>
      </c>
      <c r="H124" s="539">
        <f>H112</f>
        <v>351.3</v>
      </c>
      <c r="I124" s="533" t="s">
        <v>43</v>
      </c>
      <c r="J124" s="533"/>
      <c r="K124" s="531"/>
      <c r="L124" s="269"/>
      <c r="M124" s="535" t="s">
        <v>14</v>
      </c>
      <c r="N124" s="2374">
        <f>H124*F124</f>
        <v>3541.1040000000003</v>
      </c>
      <c r="O124" s="269" t="s">
        <v>43</v>
      </c>
      <c r="P124" s="269"/>
    </row>
    <row r="125" spans="2:17" ht="18.95" customHeight="1">
      <c r="B125" s="269" t="s">
        <v>2074</v>
      </c>
      <c r="C125" s="271"/>
      <c r="D125" s="269"/>
      <c r="E125" s="537" t="s">
        <v>14</v>
      </c>
      <c r="F125" s="2372">
        <f>+F121</f>
        <v>75.327299999999994</v>
      </c>
      <c r="G125" s="269" t="s">
        <v>549</v>
      </c>
      <c r="H125" s="539">
        <f>+H113</f>
        <v>4.0999999999999996</v>
      </c>
      <c r="I125" s="269" t="s">
        <v>502</v>
      </c>
      <c r="J125" s="269"/>
      <c r="K125" s="269"/>
      <c r="L125" s="269"/>
      <c r="M125" s="535" t="s">
        <v>14</v>
      </c>
      <c r="N125" s="2374">
        <f>ROUND(SUM(F125)*H125,2)</f>
        <v>308.83999999999997</v>
      </c>
      <c r="O125" s="269" t="s">
        <v>43</v>
      </c>
      <c r="P125" s="269"/>
    </row>
    <row r="126" spans="2:17" ht="18.95" customHeight="1">
      <c r="B126" s="269" t="s">
        <v>2073</v>
      </c>
      <c r="C126" s="269"/>
      <c r="D126" s="269"/>
      <c r="E126" s="537" t="s">
        <v>14</v>
      </c>
      <c r="F126" s="2372">
        <f>+F122</f>
        <v>14.705</v>
      </c>
      <c r="G126" s="269" t="s">
        <v>549</v>
      </c>
      <c r="H126" s="539">
        <f>+H114</f>
        <v>3.3</v>
      </c>
      <c r="I126" s="269" t="s">
        <v>502</v>
      </c>
      <c r="J126" s="269"/>
      <c r="K126" s="269"/>
      <c r="L126" s="269"/>
      <c r="M126" s="535" t="s">
        <v>14</v>
      </c>
      <c r="N126" s="2374">
        <f>ROUND(SUM(F126)*H126,2)</f>
        <v>48.53</v>
      </c>
      <c r="O126" s="269" t="s">
        <v>43</v>
      </c>
      <c r="P126" s="269"/>
    </row>
    <row r="127" spans="2:17" ht="18.95" customHeight="1">
      <c r="B127" s="269" t="s">
        <v>550</v>
      </c>
      <c r="C127" s="271"/>
      <c r="D127" s="269"/>
      <c r="E127" s="537" t="s">
        <v>14</v>
      </c>
      <c r="F127" s="539">
        <f>+F124</f>
        <v>10.08</v>
      </c>
      <c r="G127" s="269" t="str">
        <f>+G124</f>
        <v>ตร.ม.  @</v>
      </c>
      <c r="H127" s="539">
        <f>+H115</f>
        <v>133</v>
      </c>
      <c r="I127" s="269" t="s">
        <v>114</v>
      </c>
      <c r="J127" s="269"/>
      <c r="K127" s="269"/>
      <c r="L127" s="269"/>
      <c r="M127" s="535" t="s">
        <v>14</v>
      </c>
      <c r="N127" s="2374">
        <f>ROUND(F127*H127,2)</f>
        <v>1340.64</v>
      </c>
      <c r="O127" s="269" t="s">
        <v>43</v>
      </c>
      <c r="P127" s="269"/>
    </row>
    <row r="128" spans="2:17" ht="18.95" customHeight="1">
      <c r="B128" s="540"/>
      <c r="C128" s="530"/>
      <c r="D128" s="269" t="s">
        <v>412</v>
      </c>
      <c r="E128" s="269"/>
      <c r="F128" s="269"/>
      <c r="G128" s="269"/>
      <c r="H128" s="269"/>
      <c r="I128" s="269"/>
      <c r="J128" s="533"/>
      <c r="K128" s="531"/>
      <c r="L128" s="269"/>
      <c r="M128" s="535" t="s">
        <v>14</v>
      </c>
      <c r="N128" s="2374">
        <f>ROUND(SUM(N120:N127),2)</f>
        <v>13904.33</v>
      </c>
      <c r="O128" s="269" t="s">
        <v>43</v>
      </c>
      <c r="P128" s="269"/>
    </row>
    <row r="129" spans="2:17" ht="18.95" customHeight="1" thickBot="1">
      <c r="C129" s="542" t="str">
        <f>"... ค่างานต้นทุน กำแพงปากท่อ "&amp;+VLOOKUP('NO DELETE'!$K$20,'NO DELETE'!$A$4:$N$18,2)&amp;" HW"</f>
        <v>... ค่างานต้นทุน กำแพงปากท่อ  ขนาด Dia. 2 - 1.00 ม. x 1.00 ม. HW</v>
      </c>
      <c r="E129" s="269"/>
      <c r="F129" s="269"/>
      <c r="G129" s="269"/>
      <c r="H129" s="269"/>
      <c r="I129" s="269"/>
      <c r="J129" s="533"/>
      <c r="K129" s="531"/>
      <c r="L129" s="269"/>
      <c r="M129" s="535" t="s">
        <v>14</v>
      </c>
      <c r="N129" s="517">
        <f>ROUNDDOWN(N128,-1)</f>
        <v>13900</v>
      </c>
      <c r="O129" s="269" t="s">
        <v>43</v>
      </c>
      <c r="P129" s="269"/>
    </row>
    <row r="130" spans="2:17" ht="18.95" customHeight="1" thickTop="1" thickBot="1">
      <c r="C130" s="542" t="str">
        <f>"... ค่างานต้นทุน กำแพงปากท่อ "&amp;+VLOOKUP('NO DELETE'!$K$20,'NO DELETE'!$A$4:$N$18,2)&amp;" HW + EW "</f>
        <v xml:space="preserve">... ค่างานต้นทุน กำแพงปากท่อ  ขนาด Dia. 2 - 1.00 ม. x 1.00 ม. HW + EW </v>
      </c>
      <c r="E130" s="269"/>
      <c r="F130" s="269"/>
      <c r="G130" s="269"/>
      <c r="H130" s="269"/>
      <c r="I130" s="269"/>
      <c r="J130" s="533"/>
      <c r="K130" s="531"/>
      <c r="L130" s="269"/>
      <c r="M130" s="535" t="s">
        <v>14</v>
      </c>
      <c r="N130" s="517">
        <f>N129*2</f>
        <v>27800</v>
      </c>
      <c r="O130" s="269" t="s">
        <v>43</v>
      </c>
      <c r="P130" s="269"/>
    </row>
    <row r="131" spans="2:17" ht="18.95" customHeight="1" thickTop="1">
      <c r="B131" s="529" t="str">
        <f>+"6.3 กำแพงปากท่อ"&amp;VLOOKUP('NO DELETE'!$L$20,'NO DELETE'!$A$4:$N$18,2)</f>
        <v>6.3 กำแพงปากท่อ ขนาด Dia. 3 - 1.00 ม. x 1.00 ม.</v>
      </c>
      <c r="C131" s="530"/>
      <c r="D131" s="269"/>
      <c r="E131" s="269"/>
      <c r="F131" s="269"/>
      <c r="G131" s="269"/>
      <c r="H131" s="534"/>
      <c r="I131" s="269"/>
      <c r="J131" s="533"/>
      <c r="K131" s="531"/>
      <c r="L131" s="269"/>
      <c r="M131" s="269"/>
      <c r="N131" s="534"/>
      <c r="O131" s="269"/>
      <c r="P131" s="269"/>
    </row>
    <row r="132" spans="2:17" ht="18.95" customHeight="1">
      <c r="B132" s="269" t="s">
        <v>1405</v>
      </c>
      <c r="C132" s="530"/>
      <c r="D132" s="269"/>
      <c r="E132" s="537" t="s">
        <v>14</v>
      </c>
      <c r="F132" s="532">
        <f>+VLOOKUP('NO DELETE'!$L$20,'NO DELETE'!$A$23:$N$38,5)</f>
        <v>4.5309999999999997</v>
      </c>
      <c r="G132" s="269" t="s">
        <v>477</v>
      </c>
      <c r="H132" s="539">
        <f>H120</f>
        <v>2118</v>
      </c>
      <c r="I132" s="533" t="s">
        <v>43</v>
      </c>
      <c r="J132" s="533"/>
      <c r="K132" s="531"/>
      <c r="L132" s="269"/>
      <c r="M132" s="535" t="s">
        <v>14</v>
      </c>
      <c r="N132" s="2374">
        <f>H132*F132</f>
        <v>9596.6579999999994</v>
      </c>
      <c r="O132" s="269" t="s">
        <v>43</v>
      </c>
      <c r="P132" s="269"/>
      <c r="Q132" s="544"/>
    </row>
    <row r="133" spans="2:17" ht="18.95" customHeight="1">
      <c r="B133" s="269" t="s">
        <v>1246</v>
      </c>
      <c r="C133" s="530"/>
      <c r="D133" s="269"/>
      <c r="E133" s="537" t="s">
        <v>14</v>
      </c>
      <c r="F133" s="532">
        <f>+VLOOKUP('NO DELETE'!$L$20,'NO DELETE'!$A$23:$N$38,6)</f>
        <v>103.6891</v>
      </c>
      <c r="G133" s="269" t="s">
        <v>549</v>
      </c>
      <c r="H133" s="539">
        <f>H121</f>
        <v>19.309999999999999</v>
      </c>
      <c r="I133" s="533" t="s">
        <v>43</v>
      </c>
      <c r="J133" s="533"/>
      <c r="K133" s="531"/>
      <c r="L133" s="269"/>
      <c r="M133" s="535" t="s">
        <v>14</v>
      </c>
      <c r="N133" s="2374">
        <f>H133*F133</f>
        <v>2002.2365209999998</v>
      </c>
      <c r="O133" s="269" t="s">
        <v>43</v>
      </c>
      <c r="P133" s="269"/>
    </row>
    <row r="134" spans="2:17" ht="18.95" customHeight="1">
      <c r="B134" s="269" t="s">
        <v>1247</v>
      </c>
      <c r="C134" s="530"/>
      <c r="D134" s="269"/>
      <c r="E134" s="537" t="s">
        <v>14</v>
      </c>
      <c r="F134" s="532">
        <f>+VLOOKUP('NO DELETE'!$L$20,'NO DELETE'!$A$23:$N$38,7)</f>
        <v>20.815000000000001</v>
      </c>
      <c r="G134" s="269" t="s">
        <v>549</v>
      </c>
      <c r="H134" s="539">
        <f>H122</f>
        <v>19.13</v>
      </c>
      <c r="I134" s="533" t="s">
        <v>43</v>
      </c>
      <c r="J134" s="533"/>
      <c r="K134" s="531"/>
      <c r="L134" s="269"/>
      <c r="M134" s="535" t="s">
        <v>14</v>
      </c>
      <c r="N134" s="2374">
        <f>H134*F134</f>
        <v>398.19094999999999</v>
      </c>
      <c r="O134" s="269" t="s">
        <v>43</v>
      </c>
      <c r="P134" s="269"/>
    </row>
    <row r="135" spans="2:17" ht="18.95" customHeight="1">
      <c r="B135" s="540" t="s">
        <v>265</v>
      </c>
      <c r="C135" s="530"/>
      <c r="D135" s="269"/>
      <c r="E135" s="537" t="s">
        <v>14</v>
      </c>
      <c r="F135" s="532">
        <f>+VLOOKUP('NO DELETE'!$L$20,'NO DELETE'!$A$23:$N$38,8)</f>
        <v>3.11</v>
      </c>
      <c r="G135" s="269" t="s">
        <v>549</v>
      </c>
      <c r="H135" s="539">
        <f>H123</f>
        <v>46.73</v>
      </c>
      <c r="I135" s="533" t="s">
        <v>43</v>
      </c>
      <c r="J135" s="533"/>
      <c r="K135" s="531"/>
      <c r="L135" s="269"/>
      <c r="M135" s="535" t="s">
        <v>14</v>
      </c>
      <c r="N135" s="2374">
        <f>H135*F135</f>
        <v>145.33029999999999</v>
      </c>
      <c r="O135" s="269" t="s">
        <v>43</v>
      </c>
      <c r="P135" s="269"/>
    </row>
    <row r="136" spans="2:17" ht="18.95" customHeight="1">
      <c r="B136" s="540" t="s">
        <v>411</v>
      </c>
      <c r="C136" s="530"/>
      <c r="D136" s="269"/>
      <c r="E136" s="537" t="s">
        <v>14</v>
      </c>
      <c r="F136" s="532">
        <f>+VLOOKUP('NO DELETE'!$L$20,'NO DELETE'!$A$23:$N$38,9)</f>
        <v>15.120000000000001</v>
      </c>
      <c r="G136" s="269" t="s">
        <v>500</v>
      </c>
      <c r="H136" s="539">
        <f>H124</f>
        <v>351.3</v>
      </c>
      <c r="I136" s="533" t="s">
        <v>43</v>
      </c>
      <c r="J136" s="533"/>
      <c r="K136" s="531"/>
      <c r="L136" s="269"/>
      <c r="M136" s="535" t="s">
        <v>14</v>
      </c>
      <c r="N136" s="2374">
        <f>H136*F136</f>
        <v>5311.6560000000009</v>
      </c>
      <c r="O136" s="269" t="s">
        <v>43</v>
      </c>
      <c r="P136" s="269"/>
    </row>
    <row r="137" spans="2:17" ht="18.95" customHeight="1">
      <c r="B137" s="269" t="s">
        <v>2074</v>
      </c>
      <c r="C137" s="271"/>
      <c r="D137" s="269"/>
      <c r="E137" s="537" t="s">
        <v>14</v>
      </c>
      <c r="F137" s="2372">
        <f>+F133</f>
        <v>103.6891</v>
      </c>
      <c r="G137" s="269" t="s">
        <v>549</v>
      </c>
      <c r="H137" s="539">
        <f>+H125</f>
        <v>4.0999999999999996</v>
      </c>
      <c r="I137" s="269" t="s">
        <v>502</v>
      </c>
      <c r="J137" s="269"/>
      <c r="K137" s="269"/>
      <c r="L137" s="269"/>
      <c r="M137" s="535" t="s">
        <v>14</v>
      </c>
      <c r="N137" s="2374">
        <f>ROUND(SUM(F137)*H137,2)</f>
        <v>425.13</v>
      </c>
      <c r="O137" s="269" t="s">
        <v>43</v>
      </c>
      <c r="P137" s="269"/>
    </row>
    <row r="138" spans="2:17" ht="18.95" customHeight="1">
      <c r="B138" s="269" t="s">
        <v>2073</v>
      </c>
      <c r="C138" s="269"/>
      <c r="D138" s="269"/>
      <c r="E138" s="537" t="s">
        <v>14</v>
      </c>
      <c r="F138" s="2372">
        <f>+F134</f>
        <v>20.815000000000001</v>
      </c>
      <c r="G138" s="269" t="s">
        <v>549</v>
      </c>
      <c r="H138" s="539">
        <f>+H126</f>
        <v>3.3</v>
      </c>
      <c r="I138" s="269" t="s">
        <v>502</v>
      </c>
      <c r="J138" s="269"/>
      <c r="K138" s="269"/>
      <c r="L138" s="269"/>
      <c r="M138" s="535" t="s">
        <v>14</v>
      </c>
      <c r="N138" s="2374">
        <f>ROUND(SUM(F138)*H138,2)</f>
        <v>68.69</v>
      </c>
      <c r="O138" s="269" t="s">
        <v>43</v>
      </c>
      <c r="P138" s="269"/>
    </row>
    <row r="139" spans="2:17" ht="18.95" customHeight="1">
      <c r="B139" s="269" t="s">
        <v>550</v>
      </c>
      <c r="C139" s="271"/>
      <c r="D139" s="269"/>
      <c r="E139" s="537" t="s">
        <v>14</v>
      </c>
      <c r="F139" s="539">
        <f>+F136</f>
        <v>15.120000000000001</v>
      </c>
      <c r="G139" s="269" t="str">
        <f>+G136</f>
        <v>ตร.ม.  @</v>
      </c>
      <c r="H139" s="539">
        <f>+H127</f>
        <v>133</v>
      </c>
      <c r="I139" s="269" t="s">
        <v>114</v>
      </c>
      <c r="J139" s="269"/>
      <c r="K139" s="269"/>
      <c r="L139" s="269"/>
      <c r="M139" s="535" t="s">
        <v>14</v>
      </c>
      <c r="N139" s="2374">
        <f>ROUND(F139*H139,2)</f>
        <v>2010.96</v>
      </c>
      <c r="O139" s="269" t="s">
        <v>43</v>
      </c>
      <c r="P139" s="269"/>
    </row>
    <row r="140" spans="2:17" ht="18.95" customHeight="1">
      <c r="B140" s="540"/>
      <c r="C140" s="530"/>
      <c r="D140" s="269" t="s">
        <v>412</v>
      </c>
      <c r="E140" s="269"/>
      <c r="F140" s="269"/>
      <c r="G140" s="269"/>
      <c r="H140" s="269"/>
      <c r="I140" s="269"/>
      <c r="J140" s="533"/>
      <c r="K140" s="531"/>
      <c r="L140" s="269"/>
      <c r="M140" s="535" t="s">
        <v>14</v>
      </c>
      <c r="N140" s="2374">
        <f>ROUND(SUM(N132:N139),2)</f>
        <v>19958.849999999999</v>
      </c>
      <c r="O140" s="269" t="s">
        <v>43</v>
      </c>
      <c r="P140" s="269"/>
    </row>
    <row r="141" spans="2:17" ht="18.95" customHeight="1" thickBot="1">
      <c r="C141" s="542" t="str">
        <f>"... ค่างานต้นทุน กำแพงปากท่อ  "&amp;+VLOOKUP('NO DELETE'!$L$20,'NO DELETE'!$A$4:$N$18,2)&amp;" HW"</f>
        <v>... ค่างานต้นทุน กำแพงปากท่อ   ขนาด Dia. 3 - 1.00 ม. x 1.00 ม. HW</v>
      </c>
      <c r="E141" s="269"/>
      <c r="F141" s="269"/>
      <c r="G141" s="269"/>
      <c r="H141" s="269"/>
      <c r="I141" s="269"/>
      <c r="J141" s="533"/>
      <c r="K141" s="531"/>
      <c r="L141" s="269"/>
      <c r="M141" s="535" t="s">
        <v>14</v>
      </c>
      <c r="N141" s="517">
        <f>ROUNDDOWN(N140,-1)</f>
        <v>19950</v>
      </c>
      <c r="O141" s="269" t="s">
        <v>43</v>
      </c>
      <c r="P141" s="269"/>
    </row>
    <row r="142" spans="2:17" ht="18.95" customHeight="1" thickTop="1" thickBot="1">
      <c r="C142" s="542" t="str">
        <f>"... ค่างานต้นทุน กำแพงปากท่อ  "&amp;+VLOOKUP('NO DELETE'!$L$20,'NO DELETE'!$A$4:$N$18,2)&amp;" HW + EW "</f>
        <v xml:space="preserve">... ค่างานต้นทุน กำแพงปากท่อ   ขนาด Dia. 3 - 1.00 ม. x 1.00 ม. HW + EW </v>
      </c>
      <c r="E142" s="269"/>
      <c r="F142" s="269"/>
      <c r="G142" s="269"/>
      <c r="H142" s="269"/>
      <c r="I142" s="269"/>
      <c r="J142" s="533"/>
      <c r="K142" s="531"/>
      <c r="L142" s="269"/>
      <c r="M142" s="535" t="s">
        <v>14</v>
      </c>
      <c r="N142" s="517">
        <f>N141*2</f>
        <v>39900</v>
      </c>
      <c r="O142" s="269" t="s">
        <v>43</v>
      </c>
      <c r="P142" s="269"/>
    </row>
    <row r="143" spans="2:17" ht="18.95" customHeight="1" thickTop="1">
      <c r="B143" s="529" t="str">
        <f>+"6.4 กำแพงปากท่อ"&amp;VLOOKUP('NO DELETE'!$M$20,'NO DELETE'!$A$4:$N$18,2)</f>
        <v>6.4 กำแพงปากท่อ ขนาด Dia. 3 - 1.00 ม. x 1.00 ม.</v>
      </c>
      <c r="C143" s="530"/>
      <c r="D143" s="269"/>
      <c r="E143" s="269"/>
      <c r="F143" s="269"/>
      <c r="G143" s="269"/>
      <c r="H143" s="534"/>
      <c r="I143" s="269"/>
      <c r="J143" s="533"/>
      <c r="K143" s="531"/>
      <c r="L143" s="269"/>
      <c r="M143" s="269"/>
      <c r="N143" s="534"/>
      <c r="O143" s="269"/>
      <c r="P143" s="269"/>
    </row>
    <row r="144" spans="2:17" ht="18.95" customHeight="1">
      <c r="B144" s="269" t="s">
        <v>1405</v>
      </c>
      <c r="C144" s="530"/>
      <c r="D144" s="269"/>
      <c r="E144" s="537" t="s">
        <v>14</v>
      </c>
      <c r="F144" s="532">
        <f>+VLOOKUP('NO DELETE'!$M$20,'NO DELETE'!$A$23:$N$38,5)</f>
        <v>4.5309999999999997</v>
      </c>
      <c r="G144" s="269" t="s">
        <v>477</v>
      </c>
      <c r="H144" s="539">
        <f>H132</f>
        <v>2118</v>
      </c>
      <c r="I144" s="533" t="s">
        <v>43</v>
      </c>
      <c r="J144" s="533"/>
      <c r="K144" s="531"/>
      <c r="L144" s="269"/>
      <c r="M144" s="535" t="s">
        <v>14</v>
      </c>
      <c r="N144" s="2374">
        <f>H144*F144</f>
        <v>9596.6579999999994</v>
      </c>
      <c r="O144" s="269" t="s">
        <v>43</v>
      </c>
      <c r="P144" s="269"/>
      <c r="Q144" s="544"/>
    </row>
    <row r="145" spans="2:17" ht="18.95" customHeight="1">
      <c r="B145" s="269" t="s">
        <v>1246</v>
      </c>
      <c r="C145" s="530"/>
      <c r="D145" s="269"/>
      <c r="E145" s="537" t="s">
        <v>14</v>
      </c>
      <c r="F145" s="532">
        <f>+VLOOKUP('NO DELETE'!$M$20,'NO DELETE'!$A$23:$N$38,6)</f>
        <v>103.6891</v>
      </c>
      <c r="G145" s="269" t="s">
        <v>549</v>
      </c>
      <c r="H145" s="539">
        <f>H133</f>
        <v>19.309999999999999</v>
      </c>
      <c r="I145" s="533" t="s">
        <v>43</v>
      </c>
      <c r="J145" s="533"/>
      <c r="K145" s="531"/>
      <c r="L145" s="269"/>
      <c r="M145" s="535" t="s">
        <v>14</v>
      </c>
      <c r="N145" s="2374">
        <f>H145*F145</f>
        <v>2002.2365209999998</v>
      </c>
      <c r="O145" s="269" t="s">
        <v>43</v>
      </c>
      <c r="P145" s="269"/>
    </row>
    <row r="146" spans="2:17" ht="18.95" customHeight="1">
      <c r="B146" s="269" t="s">
        <v>1247</v>
      </c>
      <c r="C146" s="530"/>
      <c r="D146" s="269"/>
      <c r="E146" s="537" t="s">
        <v>14</v>
      </c>
      <c r="F146" s="532">
        <f>+VLOOKUP('NO DELETE'!$M$20,'NO DELETE'!$A$23:$N$38,7)</f>
        <v>20.815000000000001</v>
      </c>
      <c r="G146" s="269" t="s">
        <v>549</v>
      </c>
      <c r="H146" s="539">
        <f>H134</f>
        <v>19.13</v>
      </c>
      <c r="I146" s="533" t="s">
        <v>43</v>
      </c>
      <c r="J146" s="533"/>
      <c r="K146" s="531"/>
      <c r="L146" s="269"/>
      <c r="M146" s="535" t="s">
        <v>14</v>
      </c>
      <c r="N146" s="2374">
        <f>H146*F146</f>
        <v>398.19094999999999</v>
      </c>
      <c r="O146" s="269" t="s">
        <v>43</v>
      </c>
      <c r="P146" s="269"/>
    </row>
    <row r="147" spans="2:17" ht="18.95" customHeight="1">
      <c r="B147" s="540" t="s">
        <v>265</v>
      </c>
      <c r="C147" s="530"/>
      <c r="D147" s="269"/>
      <c r="E147" s="537" t="s">
        <v>14</v>
      </c>
      <c r="F147" s="532">
        <f>+VLOOKUP('NO DELETE'!$M$20,'NO DELETE'!$A$23:$N$38,8)</f>
        <v>3.11</v>
      </c>
      <c r="G147" s="269" t="s">
        <v>549</v>
      </c>
      <c r="H147" s="539">
        <f>H135</f>
        <v>46.73</v>
      </c>
      <c r="I147" s="533" t="s">
        <v>43</v>
      </c>
      <c r="J147" s="533"/>
      <c r="K147" s="531"/>
      <c r="L147" s="269"/>
      <c r="M147" s="535" t="s">
        <v>14</v>
      </c>
      <c r="N147" s="2374">
        <f>H147*F147</f>
        <v>145.33029999999999</v>
      </c>
      <c r="O147" s="269" t="s">
        <v>43</v>
      </c>
      <c r="P147" s="269"/>
    </row>
    <row r="148" spans="2:17" ht="18.95" customHeight="1">
      <c r="B148" s="540" t="s">
        <v>411</v>
      </c>
      <c r="C148" s="530"/>
      <c r="D148" s="269"/>
      <c r="E148" s="537" t="s">
        <v>14</v>
      </c>
      <c r="F148" s="532">
        <f>+VLOOKUP('NO DELETE'!$M$20,'NO DELETE'!$A$23:$N$38,9)</f>
        <v>15.120000000000001</v>
      </c>
      <c r="G148" s="269" t="s">
        <v>500</v>
      </c>
      <c r="H148" s="539">
        <f>H136</f>
        <v>351.3</v>
      </c>
      <c r="I148" s="533" t="s">
        <v>43</v>
      </c>
      <c r="J148" s="533"/>
      <c r="K148" s="531"/>
      <c r="L148" s="269"/>
      <c r="M148" s="535" t="s">
        <v>14</v>
      </c>
      <c r="N148" s="2374">
        <f>H148*F148</f>
        <v>5311.6560000000009</v>
      </c>
      <c r="O148" s="269" t="s">
        <v>43</v>
      </c>
      <c r="P148" s="269"/>
    </row>
    <row r="149" spans="2:17" ht="18.95" customHeight="1">
      <c r="B149" s="269" t="s">
        <v>2074</v>
      </c>
      <c r="C149" s="271"/>
      <c r="D149" s="269"/>
      <c r="E149" s="537" t="s">
        <v>14</v>
      </c>
      <c r="F149" s="2372">
        <f>+F145</f>
        <v>103.6891</v>
      </c>
      <c r="G149" s="269" t="s">
        <v>549</v>
      </c>
      <c r="H149" s="539">
        <f>+H137</f>
        <v>4.0999999999999996</v>
      </c>
      <c r="I149" s="269" t="s">
        <v>502</v>
      </c>
      <c r="J149" s="269"/>
      <c r="K149" s="269"/>
      <c r="L149" s="269"/>
      <c r="M149" s="535" t="s">
        <v>14</v>
      </c>
      <c r="N149" s="2374">
        <f>ROUND(SUM(F149)*H149,2)</f>
        <v>425.13</v>
      </c>
      <c r="O149" s="269" t="s">
        <v>43</v>
      </c>
      <c r="P149" s="269"/>
    </row>
    <row r="150" spans="2:17" ht="18.95" customHeight="1">
      <c r="B150" s="269" t="s">
        <v>2073</v>
      </c>
      <c r="C150" s="269"/>
      <c r="D150" s="269"/>
      <c r="E150" s="537" t="s">
        <v>14</v>
      </c>
      <c r="F150" s="2372">
        <f>+F146</f>
        <v>20.815000000000001</v>
      </c>
      <c r="G150" s="269" t="s">
        <v>549</v>
      </c>
      <c r="H150" s="539">
        <f>+H138</f>
        <v>3.3</v>
      </c>
      <c r="I150" s="269" t="s">
        <v>502</v>
      </c>
      <c r="J150" s="269"/>
      <c r="K150" s="269"/>
      <c r="L150" s="269"/>
      <c r="M150" s="535" t="s">
        <v>14</v>
      </c>
      <c r="N150" s="2374">
        <f>ROUND(SUM(F150)*H150,2)</f>
        <v>68.69</v>
      </c>
      <c r="O150" s="269" t="s">
        <v>43</v>
      </c>
      <c r="P150" s="269"/>
    </row>
    <row r="151" spans="2:17" ht="18.95" customHeight="1">
      <c r="B151" s="269" t="s">
        <v>550</v>
      </c>
      <c r="C151" s="271"/>
      <c r="D151" s="269"/>
      <c r="E151" s="537" t="s">
        <v>14</v>
      </c>
      <c r="F151" s="539">
        <f>+F148</f>
        <v>15.120000000000001</v>
      </c>
      <c r="G151" s="269" t="str">
        <f>+G148</f>
        <v>ตร.ม.  @</v>
      </c>
      <c r="H151" s="539">
        <f>+H139</f>
        <v>133</v>
      </c>
      <c r="I151" s="269" t="s">
        <v>114</v>
      </c>
      <c r="J151" s="269"/>
      <c r="K151" s="269"/>
      <c r="L151" s="269"/>
      <c r="M151" s="535" t="s">
        <v>14</v>
      </c>
      <c r="N151" s="2374">
        <f>ROUND(F151*H151,2)</f>
        <v>2010.96</v>
      </c>
      <c r="O151" s="269" t="s">
        <v>43</v>
      </c>
      <c r="P151" s="269"/>
    </row>
    <row r="152" spans="2:17" ht="18.95" customHeight="1">
      <c r="B152" s="540"/>
      <c r="C152" s="530"/>
      <c r="D152" s="269" t="s">
        <v>412</v>
      </c>
      <c r="E152" s="269"/>
      <c r="F152" s="269"/>
      <c r="G152" s="269"/>
      <c r="H152" s="269"/>
      <c r="I152" s="269"/>
      <c r="J152" s="533"/>
      <c r="K152" s="531"/>
      <c r="L152" s="269"/>
      <c r="M152" s="535" t="s">
        <v>14</v>
      </c>
      <c r="N152" s="2374">
        <f>ROUND(SUM(N144:N151),2)</f>
        <v>19958.849999999999</v>
      </c>
      <c r="O152" s="269" t="s">
        <v>43</v>
      </c>
      <c r="P152" s="269"/>
    </row>
    <row r="153" spans="2:17" ht="18.95" customHeight="1" thickBot="1">
      <c r="C153" s="542" t="str">
        <f>"... ค่างานต้นทุน กำแพงปากท่อ  "&amp;+VLOOKUP('NO DELETE'!$M$20,'NO DELETE'!$A$4:$N$18,2)&amp;" HW"</f>
        <v>... ค่างานต้นทุน กำแพงปากท่อ   ขนาด Dia. 3 - 1.00 ม. x 1.00 ม. HW</v>
      </c>
      <c r="E153" s="269"/>
      <c r="F153" s="269"/>
      <c r="G153" s="269"/>
      <c r="H153" s="269"/>
      <c r="I153" s="269"/>
      <c r="J153" s="533"/>
      <c r="K153" s="531"/>
      <c r="L153" s="269"/>
      <c r="M153" s="535" t="s">
        <v>14</v>
      </c>
      <c r="N153" s="517">
        <f>ROUNDDOWN(N152,-1)</f>
        <v>19950</v>
      </c>
      <c r="O153" s="269" t="s">
        <v>43</v>
      </c>
      <c r="P153" s="269"/>
    </row>
    <row r="154" spans="2:17" ht="18.95" customHeight="1" thickTop="1" thickBot="1">
      <c r="C154" s="542" t="str">
        <f>"... ค่างานต้นทุน กำแพงปากท่อ  "&amp;+VLOOKUP('NO DELETE'!$M$20,'NO DELETE'!$A$4:$N$18,2)&amp;" HW + EW "</f>
        <v xml:space="preserve">... ค่างานต้นทุน กำแพงปากท่อ   ขนาด Dia. 3 - 1.00 ม. x 1.00 ม. HW + EW </v>
      </c>
      <c r="E154" s="269"/>
      <c r="F154" s="269"/>
      <c r="G154" s="269"/>
      <c r="H154" s="269"/>
      <c r="I154" s="269"/>
      <c r="J154" s="533"/>
      <c r="K154" s="531"/>
      <c r="L154" s="269"/>
      <c r="M154" s="535" t="s">
        <v>14</v>
      </c>
      <c r="N154" s="517">
        <f>N153*2</f>
        <v>39900</v>
      </c>
      <c r="O154" s="269" t="s">
        <v>43</v>
      </c>
      <c r="P154" s="269"/>
    </row>
    <row r="155" spans="2:17" ht="18.95" customHeight="1" thickTop="1">
      <c r="B155" s="529" t="str">
        <f>+"6.5 กำแพงปากท่อ"&amp;VLOOKUP('NO DELETE'!$N$20,'NO DELETE'!$A$4:$N$18,2)</f>
        <v>6.5 กำแพงปากท่อ ขนาด Dia. 3 - 1.00 ม. x 1.00 ม.</v>
      </c>
      <c r="C155" s="530"/>
      <c r="D155" s="269"/>
      <c r="E155" s="269"/>
      <c r="F155" s="269"/>
      <c r="G155" s="269"/>
      <c r="H155" s="534"/>
      <c r="I155" s="269"/>
      <c r="J155" s="533"/>
      <c r="K155" s="531"/>
      <c r="L155" s="269"/>
      <c r="M155" s="269"/>
      <c r="N155" s="534"/>
      <c r="O155" s="269"/>
      <c r="P155" s="269"/>
    </row>
    <row r="156" spans="2:17" ht="18.95" customHeight="1">
      <c r="B156" s="269" t="s">
        <v>1405</v>
      </c>
      <c r="C156" s="530"/>
      <c r="D156" s="269"/>
      <c r="E156" s="537" t="s">
        <v>14</v>
      </c>
      <c r="F156" s="532">
        <f>+VLOOKUP('NO DELETE'!$N$20,'NO DELETE'!$A$23:$N$38,5)</f>
        <v>4.5309999999999997</v>
      </c>
      <c r="G156" s="269" t="s">
        <v>477</v>
      </c>
      <c r="H156" s="539">
        <f>H144</f>
        <v>2118</v>
      </c>
      <c r="I156" s="533" t="s">
        <v>43</v>
      </c>
      <c r="J156" s="533"/>
      <c r="K156" s="531"/>
      <c r="L156" s="269"/>
      <c r="M156" s="535" t="s">
        <v>14</v>
      </c>
      <c r="N156" s="2374">
        <f>H156*F156</f>
        <v>9596.6579999999994</v>
      </c>
      <c r="O156" s="269" t="s">
        <v>43</v>
      </c>
      <c r="P156" s="269"/>
      <c r="Q156" s="544"/>
    </row>
    <row r="157" spans="2:17" ht="18.95" customHeight="1">
      <c r="B157" s="269" t="s">
        <v>1246</v>
      </c>
      <c r="C157" s="530"/>
      <c r="D157" s="269"/>
      <c r="E157" s="537" t="s">
        <v>14</v>
      </c>
      <c r="F157" s="532">
        <f>+VLOOKUP('NO DELETE'!$N$20,'NO DELETE'!$A$23:$N$38,6)</f>
        <v>103.6891</v>
      </c>
      <c r="G157" s="269" t="s">
        <v>549</v>
      </c>
      <c r="H157" s="539">
        <f>H145</f>
        <v>19.309999999999999</v>
      </c>
      <c r="I157" s="533" t="s">
        <v>43</v>
      </c>
      <c r="J157" s="533"/>
      <c r="K157" s="531"/>
      <c r="L157" s="269"/>
      <c r="M157" s="535" t="s">
        <v>14</v>
      </c>
      <c r="N157" s="2374">
        <f>H157*F157</f>
        <v>2002.2365209999998</v>
      </c>
      <c r="O157" s="269" t="s">
        <v>43</v>
      </c>
      <c r="P157" s="269"/>
    </row>
    <row r="158" spans="2:17" ht="18.95" customHeight="1">
      <c r="B158" s="269" t="s">
        <v>1247</v>
      </c>
      <c r="C158" s="530"/>
      <c r="D158" s="269"/>
      <c r="E158" s="537" t="s">
        <v>14</v>
      </c>
      <c r="F158" s="532">
        <f>+VLOOKUP('NO DELETE'!$N$20,'NO DELETE'!$A$23:$N$38,7)</f>
        <v>20.815000000000001</v>
      </c>
      <c r="G158" s="269" t="s">
        <v>549</v>
      </c>
      <c r="H158" s="539">
        <f>H146</f>
        <v>19.13</v>
      </c>
      <c r="I158" s="533" t="s">
        <v>43</v>
      </c>
      <c r="J158" s="533"/>
      <c r="K158" s="531"/>
      <c r="L158" s="269"/>
      <c r="M158" s="535" t="s">
        <v>14</v>
      </c>
      <c r="N158" s="2374">
        <f>H158*F158</f>
        <v>398.19094999999999</v>
      </c>
      <c r="O158" s="269" t="s">
        <v>43</v>
      </c>
      <c r="P158" s="269"/>
    </row>
    <row r="159" spans="2:17" ht="18.95" customHeight="1">
      <c r="B159" s="540" t="s">
        <v>265</v>
      </c>
      <c r="C159" s="530"/>
      <c r="D159" s="269"/>
      <c r="E159" s="537" t="s">
        <v>14</v>
      </c>
      <c r="F159" s="532">
        <f>+VLOOKUP('NO DELETE'!$N$20,'NO DELETE'!$A$23:$N$38,8)</f>
        <v>3.11</v>
      </c>
      <c r="G159" s="269" t="s">
        <v>549</v>
      </c>
      <c r="H159" s="539">
        <f>H147</f>
        <v>46.73</v>
      </c>
      <c r="I159" s="533" t="s">
        <v>43</v>
      </c>
      <c r="J159" s="533"/>
      <c r="K159" s="531"/>
      <c r="L159" s="269"/>
      <c r="M159" s="535" t="s">
        <v>14</v>
      </c>
      <c r="N159" s="2374">
        <f>H159*F159</f>
        <v>145.33029999999999</v>
      </c>
      <c r="O159" s="269" t="s">
        <v>43</v>
      </c>
      <c r="P159" s="269"/>
      <c r="Q159" s="1279"/>
    </row>
    <row r="160" spans="2:17" ht="18.95" customHeight="1">
      <c r="B160" s="540" t="s">
        <v>411</v>
      </c>
      <c r="C160" s="530"/>
      <c r="D160" s="269"/>
      <c r="E160" s="537" t="s">
        <v>14</v>
      </c>
      <c r="F160" s="532">
        <f>+VLOOKUP('NO DELETE'!$N$20,'NO DELETE'!$A$23:$N$38,9)</f>
        <v>15.120000000000001</v>
      </c>
      <c r="G160" s="269" t="s">
        <v>500</v>
      </c>
      <c r="H160" s="539">
        <f>H148</f>
        <v>351.3</v>
      </c>
      <c r="I160" s="533" t="s">
        <v>43</v>
      </c>
      <c r="J160" s="533"/>
      <c r="K160" s="531"/>
      <c r="L160" s="269"/>
      <c r="M160" s="535" t="s">
        <v>14</v>
      </c>
      <c r="N160" s="2374">
        <f>H160*F160</f>
        <v>5311.6560000000009</v>
      </c>
      <c r="O160" s="269" t="s">
        <v>43</v>
      </c>
      <c r="P160" s="269"/>
    </row>
    <row r="161" spans="2:33" ht="18.95" customHeight="1">
      <c r="B161" s="269" t="s">
        <v>2074</v>
      </c>
      <c r="C161" s="271"/>
      <c r="D161" s="269"/>
      <c r="E161" s="537" t="s">
        <v>14</v>
      </c>
      <c r="F161" s="2372">
        <f>+F157</f>
        <v>103.6891</v>
      </c>
      <c r="G161" s="269" t="s">
        <v>549</v>
      </c>
      <c r="H161" s="539">
        <f>+H149</f>
        <v>4.0999999999999996</v>
      </c>
      <c r="I161" s="269" t="s">
        <v>502</v>
      </c>
      <c r="J161" s="269"/>
      <c r="K161" s="269"/>
      <c r="L161" s="269"/>
      <c r="M161" s="535" t="s">
        <v>14</v>
      </c>
      <c r="N161" s="2374">
        <f>ROUND(SUM(F161)*H161,2)</f>
        <v>425.13</v>
      </c>
      <c r="O161" s="269" t="s">
        <v>43</v>
      </c>
      <c r="P161" s="269"/>
    </row>
    <row r="162" spans="2:33" ht="18.95" customHeight="1">
      <c r="B162" s="269" t="s">
        <v>2073</v>
      </c>
      <c r="C162" s="269"/>
      <c r="D162" s="269"/>
      <c r="E162" s="537" t="s">
        <v>14</v>
      </c>
      <c r="F162" s="2372">
        <f>+F158</f>
        <v>20.815000000000001</v>
      </c>
      <c r="G162" s="269" t="s">
        <v>549</v>
      </c>
      <c r="H162" s="539">
        <f>+H150</f>
        <v>3.3</v>
      </c>
      <c r="I162" s="269" t="s">
        <v>502</v>
      </c>
      <c r="J162" s="269"/>
      <c r="K162" s="269"/>
      <c r="L162" s="269"/>
      <c r="M162" s="535" t="s">
        <v>14</v>
      </c>
      <c r="N162" s="2374">
        <f>ROUND(SUM(F162)*H162,2)</f>
        <v>68.69</v>
      </c>
      <c r="O162" s="269" t="s">
        <v>43</v>
      </c>
      <c r="P162" s="269"/>
    </row>
    <row r="163" spans="2:33" ht="18.95" customHeight="1">
      <c r="B163" s="269" t="s">
        <v>550</v>
      </c>
      <c r="C163" s="271"/>
      <c r="D163" s="269"/>
      <c r="E163" s="537" t="s">
        <v>14</v>
      </c>
      <c r="F163" s="539">
        <f>+F160</f>
        <v>15.120000000000001</v>
      </c>
      <c r="G163" s="269" t="str">
        <f>+G160</f>
        <v>ตร.ม.  @</v>
      </c>
      <c r="H163" s="539">
        <f>+H151</f>
        <v>133</v>
      </c>
      <c r="I163" s="269" t="s">
        <v>114</v>
      </c>
      <c r="J163" s="269"/>
      <c r="K163" s="269"/>
      <c r="L163" s="269"/>
      <c r="M163" s="535" t="s">
        <v>14</v>
      </c>
      <c r="N163" s="2374">
        <f>ROUND(F163*H163,2)</f>
        <v>2010.96</v>
      </c>
      <c r="O163" s="269" t="s">
        <v>43</v>
      </c>
      <c r="P163" s="269"/>
    </row>
    <row r="164" spans="2:33" ht="18.95" customHeight="1">
      <c r="B164" s="540"/>
      <c r="C164" s="530"/>
      <c r="D164" s="269" t="s">
        <v>412</v>
      </c>
      <c r="E164" s="269"/>
      <c r="F164" s="269"/>
      <c r="G164" s="269"/>
      <c r="H164" s="269"/>
      <c r="I164" s="269"/>
      <c r="J164" s="533"/>
      <c r="K164" s="531"/>
      <c r="L164" s="269"/>
      <c r="M164" s="535" t="s">
        <v>14</v>
      </c>
      <c r="N164" s="2374">
        <f>ROUND(SUM(N156:N163),2)</f>
        <v>19958.849999999999</v>
      </c>
      <c r="O164" s="269" t="s">
        <v>43</v>
      </c>
      <c r="P164" s="269"/>
    </row>
    <row r="165" spans="2:33" ht="18.95" customHeight="1" thickBot="1">
      <c r="C165" s="542" t="str">
        <f>"... ค่างานต้นทุน กำแพงปากท่อ  "&amp;+VLOOKUP('NO DELETE'!$M$20,'NO DELETE'!$A$4:$N$18,2)&amp;" HW"</f>
        <v>... ค่างานต้นทุน กำแพงปากท่อ   ขนาด Dia. 3 - 1.00 ม. x 1.00 ม. HW</v>
      </c>
      <c r="E165" s="269"/>
      <c r="F165" s="269"/>
      <c r="G165" s="269"/>
      <c r="H165" s="269"/>
      <c r="I165" s="269"/>
      <c r="J165" s="533"/>
      <c r="K165" s="531"/>
      <c r="L165" s="269"/>
      <c r="M165" s="535" t="s">
        <v>14</v>
      </c>
      <c r="N165" s="517">
        <f>ROUNDDOWN(N164,-1)</f>
        <v>19950</v>
      </c>
      <c r="O165" s="269" t="s">
        <v>43</v>
      </c>
      <c r="P165" s="269"/>
    </row>
    <row r="166" spans="2:33" ht="18.95" customHeight="1" thickTop="1" thickBot="1">
      <c r="C166" s="542" t="str">
        <f>"... ค่างานต้นทุน กำแพงปากท่อ  "&amp;+VLOOKUP('NO DELETE'!$M$20,'NO DELETE'!$A$4:$N$18,2)&amp;" HW + EW "</f>
        <v xml:space="preserve">... ค่างานต้นทุน กำแพงปากท่อ   ขนาด Dia. 3 - 1.00 ม. x 1.00 ม. HW + EW </v>
      </c>
      <c r="E166" s="269"/>
      <c r="F166" s="269"/>
      <c r="G166" s="269"/>
      <c r="H166" s="269"/>
      <c r="I166" s="269"/>
      <c r="J166" s="533"/>
      <c r="K166" s="531"/>
      <c r="L166" s="269"/>
      <c r="M166" s="535" t="s">
        <v>14</v>
      </c>
      <c r="N166" s="517">
        <f>N165*2</f>
        <v>39900</v>
      </c>
      <c r="O166" s="269" t="s">
        <v>43</v>
      </c>
      <c r="P166" s="269"/>
    </row>
    <row r="167" spans="2:33" ht="18.95" customHeight="1" thickTop="1">
      <c r="B167" s="546" t="s">
        <v>19</v>
      </c>
      <c r="H167" s="269"/>
      <c r="I167" s="269"/>
      <c r="J167" s="533"/>
      <c r="K167" s="531"/>
      <c r="L167" s="269"/>
      <c r="M167" s="535"/>
      <c r="N167" s="534"/>
      <c r="O167" s="269"/>
      <c r="P167" s="269"/>
    </row>
    <row r="168" spans="2:33" ht="18.95" customHeight="1">
      <c r="B168" s="434" t="s">
        <v>359</v>
      </c>
      <c r="F168" s="547">
        <f>'1.ต้นทุนถนน AC.'!G152</f>
        <v>23.5</v>
      </c>
      <c r="G168" s="434" t="s">
        <v>20</v>
      </c>
      <c r="H168" s="269"/>
      <c r="I168" s="269"/>
      <c r="J168" s="533"/>
      <c r="K168" s="531"/>
      <c r="L168" s="269"/>
      <c r="M168" s="535"/>
      <c r="N168" s="534"/>
      <c r="O168" s="269"/>
      <c r="P168" s="269"/>
    </row>
    <row r="169" spans="2:33" s="434" customFormat="1" ht="18.95" customHeight="1">
      <c r="B169" s="434" t="s">
        <v>413</v>
      </c>
      <c r="F169" s="2743" t="str">
        <f>'1.ต้นทุนถนน AC.'!F153</f>
        <v>ฝนตกชุก 1</v>
      </c>
      <c r="G169" s="2743"/>
      <c r="P169" s="271"/>
      <c r="Q169" s="271"/>
      <c r="R169" s="485"/>
      <c r="S169" s="271"/>
      <c r="T169" s="271"/>
      <c r="U169" s="271"/>
      <c r="V169" s="271"/>
      <c r="W169" s="271"/>
      <c r="X169" s="271"/>
      <c r="Y169" s="271"/>
      <c r="Z169" s="271"/>
      <c r="AA169" s="271"/>
      <c r="AB169" s="271"/>
      <c r="AC169" s="271"/>
      <c r="AD169" s="271"/>
      <c r="AE169" s="271"/>
      <c r="AF169" s="271"/>
      <c r="AG169" s="268"/>
    </row>
  </sheetData>
  <protectedRanges>
    <protectedRange sqref="E6:H7" name="Range2_1_1"/>
    <protectedRange sqref="C8" name="Range3_1"/>
    <protectedRange sqref="F8" name="Range4_1"/>
    <protectedRange sqref="D16:D18 E9:E11 F23:F28 D24:D28 C9:C10 D13:D14 D11 F9:F19" name="Range5_1"/>
    <protectedRange sqref="C7" name="Range2_1_1_1"/>
  </protectedRanges>
  <mergeCells count="12">
    <mergeCell ref="A29:O29"/>
    <mergeCell ref="F169:G169"/>
    <mergeCell ref="B35:F35"/>
    <mergeCell ref="B41:F41"/>
    <mergeCell ref="B43:F43"/>
    <mergeCell ref="B49:F49"/>
    <mergeCell ref="B51:F51"/>
    <mergeCell ref="D2:F2"/>
    <mergeCell ref="N2:O2"/>
    <mergeCell ref="A3:O3"/>
    <mergeCell ref="A4:O4"/>
    <mergeCell ref="A11:O11"/>
  </mergeCells>
  <phoneticPr fontId="30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90" orientation="portrait" r:id="rId1"/>
  <headerFooter>
    <oddHeader>&amp;Rงานท่อฯ หน้าที่  &amp;P</oddHeader>
    <oddFooter>&amp;Rต้นทุนงานท่อ &amp;P / &amp;N</oddFooter>
  </headerFooter>
  <rowBreaks count="4" manualBreakCount="4">
    <brk id="44" max="16383" man="1"/>
    <brk id="78" max="16383" man="1"/>
    <brk id="118" max="16383" man="1"/>
    <brk id="154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C000"/>
  </sheetPr>
  <dimension ref="A1:DJ368"/>
  <sheetViews>
    <sheetView topLeftCell="A50" zoomScale="110" zoomScaleNormal="110" workbookViewId="0">
      <selection activeCell="F170" sqref="F170"/>
    </sheetView>
  </sheetViews>
  <sheetFormatPr defaultColWidth="9.140625" defaultRowHeight="21.75"/>
  <cols>
    <col min="1" max="1" width="2.5703125" style="434" customWidth="1"/>
    <col min="2" max="2" width="12.85546875" style="434" customWidth="1"/>
    <col min="3" max="3" width="12.7109375" style="434" customWidth="1"/>
    <col min="4" max="4" width="6.140625" style="434" customWidth="1"/>
    <col min="5" max="5" width="2.28515625" style="434" customWidth="1"/>
    <col min="6" max="6" width="9.42578125" style="434" customWidth="1"/>
    <col min="7" max="7" width="7" style="434" customWidth="1"/>
    <col min="8" max="8" width="9.42578125" style="434" customWidth="1"/>
    <col min="9" max="9" width="2.140625" style="434" customWidth="1"/>
    <col min="10" max="11" width="8.5703125" style="434" customWidth="1"/>
    <col min="12" max="12" width="4.7109375" style="434" customWidth="1"/>
    <col min="13" max="13" width="2.7109375" style="434" customWidth="1"/>
    <col min="14" max="14" width="12.140625" style="434" customWidth="1"/>
    <col min="15" max="15" width="7.7109375" style="434" bestFit="1" customWidth="1"/>
    <col min="16" max="16" width="5.7109375" style="271" customWidth="1"/>
    <col min="17" max="17" width="9.140625" style="271"/>
    <col min="18" max="18" width="3.7109375" style="485" customWidth="1"/>
    <col min="19" max="19" width="20.42578125" style="271" bestFit="1" customWidth="1"/>
    <col min="20" max="21" width="9.140625" style="271"/>
    <col min="22" max="22" width="9" style="271" customWidth="1"/>
    <col min="23" max="23" width="2.42578125" style="271" bestFit="1" customWidth="1"/>
    <col min="24" max="24" width="27.28515625" style="271" bestFit="1" customWidth="1"/>
    <col min="25" max="25" width="9.140625" style="271"/>
    <col min="26" max="26" width="8.7109375" style="271" customWidth="1"/>
    <col min="27" max="27" width="8.5703125" style="271" customWidth="1"/>
    <col min="28" max="29" width="9.140625" style="271"/>
    <col min="30" max="30" width="9.5703125" style="271" bestFit="1" customWidth="1"/>
    <col min="31" max="31" width="9.7109375" style="271" bestFit="1" customWidth="1"/>
    <col min="32" max="32" width="9.42578125" style="271" bestFit="1" customWidth="1"/>
    <col min="33" max="33" width="11.85546875" style="268" bestFit="1" customWidth="1"/>
    <col min="34" max="41" width="9.140625" style="271"/>
    <col min="42" max="42" width="6.7109375" style="271" bestFit="1" customWidth="1"/>
    <col min="43" max="16384" width="9.140625" style="271"/>
  </cols>
  <sheetData>
    <row r="1" spans="1:62" s="270" customFormat="1" ht="27.75">
      <c r="A1" s="465"/>
      <c r="B1" s="466"/>
      <c r="C1" s="467"/>
      <c r="D1" s="468" t="s">
        <v>399</v>
      </c>
      <c r="E1" s="469"/>
      <c r="F1" s="470"/>
      <c r="G1" s="471"/>
      <c r="H1" s="472"/>
      <c r="I1" s="473"/>
      <c r="J1" s="474"/>
      <c r="K1" s="475"/>
      <c r="L1" s="476"/>
      <c r="M1" s="477"/>
      <c r="N1" s="478"/>
      <c r="O1" s="479"/>
      <c r="R1" s="480"/>
    </row>
    <row r="2" spans="1:62" s="270" customFormat="1">
      <c r="A2" s="465"/>
      <c r="B2" s="466"/>
      <c r="C2" s="472"/>
      <c r="D2" s="2712" t="s">
        <v>400</v>
      </c>
      <c r="E2" s="2712"/>
      <c r="F2" s="2712"/>
      <c r="G2" s="481" t="s">
        <v>401</v>
      </c>
      <c r="H2" s="481"/>
      <c r="I2" s="481"/>
      <c r="J2" s="482"/>
      <c r="K2" s="482"/>
      <c r="L2" s="482"/>
      <c r="M2" s="482"/>
      <c r="N2" s="2713">
        <v>42206</v>
      </c>
      <c r="O2" s="2713"/>
      <c r="R2" s="480"/>
    </row>
    <row r="3" spans="1:62" s="483" customFormat="1" ht="18" customHeight="1">
      <c r="A3" s="2748" t="s">
        <v>610</v>
      </c>
      <c r="B3" s="2748"/>
      <c r="C3" s="2748"/>
      <c r="D3" s="2748"/>
      <c r="E3" s="2748"/>
      <c r="F3" s="2748"/>
      <c r="G3" s="2748"/>
      <c r="H3" s="2748"/>
      <c r="I3" s="2748"/>
      <c r="J3" s="2748"/>
      <c r="K3" s="2748"/>
      <c r="L3" s="2748"/>
      <c r="M3" s="2748"/>
      <c r="N3" s="2748"/>
      <c r="O3" s="2748"/>
      <c r="R3" s="484"/>
    </row>
    <row r="4" spans="1:62" ht="18" customHeight="1">
      <c r="A4" s="2749" t="s">
        <v>2078</v>
      </c>
      <c r="B4" s="2749"/>
      <c r="C4" s="2749"/>
      <c r="D4" s="2749"/>
      <c r="E4" s="2749"/>
      <c r="F4" s="2749"/>
      <c r="G4" s="2749"/>
      <c r="H4" s="2749"/>
      <c r="I4" s="2749"/>
      <c r="J4" s="2749"/>
      <c r="K4" s="2749"/>
      <c r="L4" s="2749"/>
      <c r="M4" s="2749"/>
      <c r="N4" s="2749"/>
      <c r="O4" s="2749"/>
    </row>
    <row r="5" spans="1:62" ht="18" customHeight="1">
      <c r="B5" s="486"/>
      <c r="C5" s="486"/>
      <c r="D5" s="486"/>
      <c r="E5" s="486"/>
      <c r="F5" s="486"/>
      <c r="G5" s="486"/>
      <c r="H5" s="486"/>
      <c r="I5" s="486"/>
      <c r="J5" s="487"/>
      <c r="K5" s="488" t="str">
        <f>+'1.ต้นทุนถนน AC.'!J5</f>
        <v>วันที่ 10  พฤศจิกายน พ.ศ. 2558</v>
      </c>
      <c r="L5" s="486"/>
      <c r="M5" s="486"/>
      <c r="N5" s="486"/>
      <c r="O5" s="486"/>
    </row>
    <row r="6" spans="1:62" ht="18" customHeight="1">
      <c r="B6" s="489" t="s">
        <v>403</v>
      </c>
      <c r="C6" s="435" t="str">
        <f>+ปร.5_Roads!C4</f>
        <v xml:space="preserve">บำรุงพิเศษ ซ่อมสร้างผิวทาง Asphaltic Concrete </v>
      </c>
      <c r="M6" s="486"/>
      <c r="N6" s="486"/>
      <c r="O6" s="486"/>
      <c r="P6" s="486"/>
    </row>
    <row r="7" spans="1:62" ht="18" customHeight="1">
      <c r="B7" s="489" t="s">
        <v>379</v>
      </c>
      <c r="C7" s="432" t="str">
        <f>+ปร.5_Roads!A2</f>
        <v xml:space="preserve"> สำนักงานทางหลวงชนบทที่ 12(สงขลา) กรมทางหลวงชนบท</v>
      </c>
      <c r="M7" s="486"/>
      <c r="N7" s="486"/>
      <c r="O7" s="486"/>
      <c r="P7" s="486"/>
    </row>
    <row r="8" spans="1:62" ht="18" customHeight="1">
      <c r="B8" s="489" t="s">
        <v>404</v>
      </c>
      <c r="C8" s="433" t="str">
        <f>+ปร.5_Roads!C6</f>
        <v>ปน.4031</v>
      </c>
      <c r="D8" s="489" t="s">
        <v>362</v>
      </c>
      <c r="E8" s="489"/>
      <c r="F8" s="432" t="str">
        <f>+ปร.5_Roads!F6</f>
        <v>แยกทางหลวงหมายเลข 4157-บ้านปาตา</v>
      </c>
      <c r="H8" s="432"/>
      <c r="I8" s="432"/>
      <c r="J8" s="432"/>
      <c r="K8" s="432"/>
      <c r="L8" s="432"/>
      <c r="M8" s="486"/>
      <c r="N8" s="486"/>
      <c r="O8" s="486"/>
      <c r="P8" s="486"/>
      <c r="BF8" s="268"/>
      <c r="BG8" s="268"/>
      <c r="BH8" s="268"/>
      <c r="BI8" s="268"/>
      <c r="BJ8" s="268"/>
    </row>
    <row r="9" spans="1:62" ht="18" customHeight="1" thickBot="1">
      <c r="A9" s="490"/>
      <c r="B9" s="491" t="s">
        <v>363</v>
      </c>
      <c r="C9" s="492" t="str">
        <f>+ปร.5_Roads!C7</f>
        <v>อำเภอ  ปะนาเระ,ยะหริ่ง จังหวัด ปัตตานี</v>
      </c>
      <c r="D9" s="493"/>
      <c r="E9" s="493"/>
      <c r="F9" s="493"/>
      <c r="G9" s="494"/>
      <c r="H9" s="491" t="s">
        <v>545</v>
      </c>
      <c r="I9" s="490"/>
      <c r="J9" s="495"/>
      <c r="K9" s="496">
        <f>+'1.ต้นทุนถนน AC.'!M9</f>
        <v>1.5229999999999999</v>
      </c>
      <c r="L9" s="491" t="s">
        <v>564</v>
      </c>
      <c r="M9" s="497"/>
      <c r="N9" s="490"/>
      <c r="O9" s="498"/>
      <c r="BF9" s="268"/>
      <c r="BG9" s="268"/>
      <c r="BH9" s="268"/>
      <c r="BI9" s="268"/>
      <c r="BJ9" s="268"/>
    </row>
    <row r="10" spans="1:62" ht="10.5" customHeight="1">
      <c r="A10" s="440"/>
      <c r="B10" s="499"/>
      <c r="C10" s="500"/>
      <c r="D10" s="440"/>
      <c r="E10" s="500"/>
      <c r="F10" s="500"/>
      <c r="G10" s="501"/>
      <c r="H10" s="499"/>
      <c r="I10" s="440"/>
      <c r="J10" s="502"/>
      <c r="K10" s="503"/>
      <c r="L10" s="499"/>
      <c r="M10" s="504"/>
      <c r="N10" s="440"/>
      <c r="O10" s="505"/>
      <c r="BF10" s="268"/>
      <c r="BG10" s="268"/>
      <c r="BH10" s="268"/>
      <c r="BI10" s="268"/>
      <c r="BJ10" s="268"/>
    </row>
    <row r="11" spans="1:62" s="283" customFormat="1" ht="24">
      <c r="A11" s="2746" t="s">
        <v>1312</v>
      </c>
      <c r="B11" s="2746"/>
      <c r="C11" s="2746"/>
      <c r="D11" s="2746"/>
      <c r="E11" s="2746"/>
      <c r="F11" s="2746"/>
      <c r="G11" s="2746"/>
      <c r="H11" s="2746"/>
      <c r="I11" s="2746"/>
      <c r="J11" s="2746"/>
      <c r="K11" s="2746"/>
      <c r="L11" s="2746"/>
      <c r="M11" s="2746"/>
      <c r="N11" s="2746"/>
      <c r="O11" s="2746"/>
      <c r="P11" s="270"/>
      <c r="R11" s="437"/>
      <c r="BF11" s="268"/>
      <c r="BG11" s="268"/>
      <c r="BH11" s="268"/>
      <c r="BI11" s="268"/>
      <c r="BJ11" s="268"/>
    </row>
    <row r="12" spans="1:62" s="283" customFormat="1" ht="18.95" customHeight="1">
      <c r="A12" s="283">
        <v>1</v>
      </c>
      <c r="B12" s="369" t="str">
        <f>+'3.ต้นทุนวางท่อ'!B12</f>
        <v>สำนักดัชนีการค้า ปัตตานี (ตุลาคม 58)</v>
      </c>
      <c r="D12" s="283" t="s">
        <v>188</v>
      </c>
      <c r="G12" s="548"/>
      <c r="H12" s="389">
        <f>+'1.ต้นทุนถนน AC.'!H21</f>
        <v>3003.11</v>
      </c>
      <c r="J12" s="436" t="s">
        <v>8</v>
      </c>
      <c r="K12" s="437" t="s">
        <v>4</v>
      </c>
      <c r="L12" s="369">
        <f>+'3.ต้นทุนวางท่อ'!L12</f>
        <v>65</v>
      </c>
      <c r="M12" s="437" t="s">
        <v>5</v>
      </c>
      <c r="N12" s="2386">
        <f>IF(แหล่งวัสดุ!L$23=1,IF(L12&lt;=200,VLOOKUP(L12,'S2'!B$5:'S2'!F$204,2),IF(L12&gt;200,(L12-200)*'S2'!C$205+'S2'!C$204)),IF(แหล่งวัสดุ!L$23=2,IF(L12&lt;=200,VLOOKUP(L12,'S2'!B$5:'S2'!F$204,4),IF(L12&gt;200,(L12-200)*'S2'!E$205+'S2'!E$204))))</f>
        <v>90.01</v>
      </c>
      <c r="O12" s="283" t="s">
        <v>9</v>
      </c>
      <c r="P12" s="270"/>
      <c r="R12" s="437"/>
      <c r="BF12" s="268"/>
      <c r="BG12" s="268"/>
      <c r="BH12" s="268"/>
      <c r="BI12" s="268"/>
      <c r="BJ12" s="268"/>
    </row>
    <row r="13" spans="1:62" s="283" customFormat="1" ht="18.95" customHeight="1">
      <c r="A13" s="283">
        <f t="shared" ref="A13:A28" si="0">A12+1</f>
        <v>2</v>
      </c>
      <c r="B13" s="369" t="str">
        <f>+'3.ต้นทุนวางท่อ'!B13</f>
        <v>อ.มะนัง จ.สตูล</v>
      </c>
      <c r="C13" s="434"/>
      <c r="D13" s="434" t="s">
        <v>392</v>
      </c>
      <c r="F13" s="434"/>
      <c r="H13" s="506">
        <f>+แหล่งวัสดุ!F29</f>
        <v>150</v>
      </c>
      <c r="J13" s="430" t="s">
        <v>3</v>
      </c>
      <c r="K13" s="437" t="s">
        <v>4</v>
      </c>
      <c r="L13" s="441">
        <f>+'3.ต้นทุนวางท่อ'!L13</f>
        <v>73</v>
      </c>
      <c r="M13" s="437" t="s">
        <v>5</v>
      </c>
      <c r="N13" s="2386">
        <f>IF(แหล่งวัสดุ!L$23=1,IF(L13&lt;=200,VLOOKUP(L13,'S2'!B$5:'S2'!F$204,3),IF(L13&gt;200,(L13-200)*'S2'!D$205+'S2'!D$204)),IF(แหล่งวัสดุ!L$23=2,IF(L13&lt;=200,VLOOKUP(L13,'S2'!B$5:'S2'!F$204,5),IF(L13&gt;200,(L13-200)*'S2'!F$205+'S2'!F$204))))</f>
        <v>141.43</v>
      </c>
      <c r="O13" s="430" t="s">
        <v>18</v>
      </c>
      <c r="P13" s="270"/>
      <c r="R13" s="437"/>
      <c r="BF13" s="268"/>
      <c r="BG13" s="268"/>
      <c r="BH13" s="268"/>
      <c r="BI13" s="268"/>
      <c r="BJ13" s="268"/>
    </row>
    <row r="14" spans="1:62" s="283" customFormat="1" ht="18.95" customHeight="1">
      <c r="A14" s="283">
        <f t="shared" si="0"/>
        <v>3</v>
      </c>
      <c r="B14" s="369" t="str">
        <f>+'3.ต้นทุนวางท่อ'!B14</f>
        <v>อ.มะนัง จ.สตูล</v>
      </c>
      <c r="C14" s="434"/>
      <c r="D14" s="434" t="s">
        <v>393</v>
      </c>
      <c r="F14" s="434"/>
      <c r="H14" s="506">
        <f>'3.ต้นทุนวางท่อ'!H14</f>
        <v>485</v>
      </c>
      <c r="J14" s="430" t="s">
        <v>3</v>
      </c>
      <c r="K14" s="437" t="s">
        <v>4</v>
      </c>
      <c r="L14" s="441">
        <f>+'3.ต้นทุนวางท่อ'!L14</f>
        <v>73</v>
      </c>
      <c r="M14" s="437" t="s">
        <v>5</v>
      </c>
      <c r="N14" s="2386">
        <f>IF(แหล่งวัสดุ!L$23=1,IF(L14&lt;=200,VLOOKUP(L14,'S2'!B$5:'S2'!F$204,3),IF(L14&gt;200,(L14-200)*'S2'!D$205+'S2'!D$204)),IF(แหล่งวัสดุ!L$23=2,IF(L14&lt;=200,VLOOKUP(L14,'S2'!B$5:'S2'!F$204,5),IF(L14&gt;200,(L14-200)*'S2'!F$205+'S2'!F$204))))</f>
        <v>141.43</v>
      </c>
      <c r="O14" s="430" t="s">
        <v>18</v>
      </c>
      <c r="P14" s="270"/>
      <c r="R14" s="437"/>
      <c r="BF14" s="268"/>
      <c r="BG14" s="268"/>
      <c r="BH14" s="268"/>
      <c r="BI14" s="268"/>
      <c r="BJ14" s="268"/>
    </row>
    <row r="15" spans="1:62" s="283" customFormat="1" ht="18.95" customHeight="1">
      <c r="A15" s="283">
        <f t="shared" si="0"/>
        <v>4</v>
      </c>
      <c r="B15" s="369" t="str">
        <f>+'3.ต้นทุนวางท่อ'!B15</f>
        <v>ต.คลองเปียะ อ.จะนะ จ.สงขลา</v>
      </c>
      <c r="C15" s="434"/>
      <c r="D15" s="283" t="s">
        <v>394</v>
      </c>
      <c r="F15" s="434"/>
      <c r="H15" s="506">
        <f>'3.ต้นทุนวางท่อ'!H15</f>
        <v>400</v>
      </c>
      <c r="J15" s="430" t="s">
        <v>3</v>
      </c>
      <c r="K15" s="437" t="s">
        <v>4</v>
      </c>
      <c r="L15" s="441">
        <f>+'3.ต้นทุนวางท่อ'!L15</f>
        <v>40</v>
      </c>
      <c r="M15" s="437" t="s">
        <v>5</v>
      </c>
      <c r="N15" s="2386">
        <f>IF(แหล่งวัสดุ!L$23=1,IF(L15&lt;=200,VLOOKUP(L15,'S2'!B$5:'S2'!F$204,3),IF(L15&gt;200,(L15-200)*'S2'!D$205+'S2'!D$204)),IF(แหล่งวัสดุ!L$23=2,IF(L15&lt;=200,VLOOKUP(L15,'S2'!B$5:'S2'!F$204,5),IF(L15&gt;200,(L15-200)*'S2'!F$205+'S2'!F$204))))</f>
        <v>77.88</v>
      </c>
      <c r="O15" s="430" t="s">
        <v>18</v>
      </c>
      <c r="P15" s="270"/>
      <c r="R15" s="437"/>
      <c r="BF15" s="268"/>
      <c r="BG15" s="268"/>
      <c r="BH15" s="268"/>
      <c r="BI15" s="268"/>
      <c r="BJ15" s="268"/>
    </row>
    <row r="16" spans="1:62" s="283" customFormat="1" ht="18.95" customHeight="1">
      <c r="A16" s="283">
        <f t="shared" si="0"/>
        <v>5</v>
      </c>
      <c r="B16" s="369" t="str">
        <f>+B12</f>
        <v>สำนักดัชนีการค้า ปัตตานี (ตุลาคม 58)</v>
      </c>
      <c r="C16" s="434"/>
      <c r="D16" s="434" t="s">
        <v>1281</v>
      </c>
      <c r="F16" s="434"/>
      <c r="H16" s="2014">
        <f>+'3.ต้นทุนวางท่อ'!H16</f>
        <v>19898.169999999998</v>
      </c>
      <c r="J16" s="436" t="s">
        <v>8</v>
      </c>
      <c r="K16" s="437" t="s">
        <v>4</v>
      </c>
      <c r="L16" s="441">
        <f>+'3.ต้นทุนวางท่อ'!L16</f>
        <v>65</v>
      </c>
      <c r="M16" s="437" t="s">
        <v>5</v>
      </c>
      <c r="N16" s="2386">
        <f>IF(แหล่งวัสดุ!L$23=1,IF(L16&lt;=200,VLOOKUP(L16,'S2'!B$5:'S2'!F$204,2),IF(L16&gt;200,(L16-200)*'S2'!C$205+'S2'!C$204)),IF(แหล่งวัสดุ!L$23=2,IF(L16&lt;=200,VLOOKUP(L16,'S2'!B$5:'S2'!F$204,4),IF(L16&gt;200,(L16-200)*'S2'!E$205+'S2'!E$204))))</f>
        <v>90.01</v>
      </c>
      <c r="O16" s="283" t="s">
        <v>9</v>
      </c>
      <c r="P16" s="270"/>
      <c r="R16" s="437"/>
      <c r="BF16" s="268"/>
      <c r="BG16" s="268"/>
      <c r="BH16" s="268"/>
      <c r="BI16" s="268"/>
      <c r="BJ16" s="268"/>
    </row>
    <row r="17" spans="1:62" s="283" customFormat="1" ht="18.95" customHeight="1">
      <c r="A17" s="283">
        <f t="shared" si="0"/>
        <v>6</v>
      </c>
      <c r="B17" s="369" t="str">
        <f>+B16</f>
        <v>สำนักดัชนีการค้า ปัตตานี (ตุลาคม 58)</v>
      </c>
      <c r="C17" s="434"/>
      <c r="D17" s="434" t="s">
        <v>1282</v>
      </c>
      <c r="F17" s="434"/>
      <c r="H17" s="506">
        <f>+'3.ต้นทุนวางท่อ'!H17</f>
        <v>19220.78</v>
      </c>
      <c r="J17" s="436" t="s">
        <v>8</v>
      </c>
      <c r="K17" s="437" t="s">
        <v>4</v>
      </c>
      <c r="L17" s="441">
        <f t="shared" ref="L17:L27" si="1">+L16</f>
        <v>65</v>
      </c>
      <c r="M17" s="437" t="s">
        <v>5</v>
      </c>
      <c r="N17" s="2386">
        <f>IF(แหล่งวัสดุ!L$23=1,IF(L17&lt;=200,VLOOKUP(L17,'S2'!B$5:'S2'!F$204,2),IF(L17&gt;200,(L17-200)*'S2'!C$205+'S2'!C$204)),IF(แหล่งวัสดุ!L$23=2,IF(L17&lt;=200,VLOOKUP(L17,'S2'!B$5:'S2'!F$204,4),IF(L17&gt;200,(L17-200)*'S2'!E$205+'S2'!E$204))))</f>
        <v>90.01</v>
      </c>
      <c r="O17" s="283" t="s">
        <v>9</v>
      </c>
      <c r="P17" s="270"/>
      <c r="R17" s="437"/>
      <c r="BF17" s="268"/>
      <c r="BG17" s="268"/>
      <c r="BH17" s="268"/>
      <c r="BI17" s="268"/>
      <c r="BJ17" s="268"/>
    </row>
    <row r="18" spans="1:62" s="283" customFormat="1" ht="18.95" customHeight="1">
      <c r="A18" s="283">
        <f t="shared" si="0"/>
        <v>7</v>
      </c>
      <c r="B18" s="369" t="str">
        <f t="shared" ref="B18:B27" si="2">+B17</f>
        <v>สำนักดัชนีการค้า ปัตตานี (ตุลาคม 58)</v>
      </c>
      <c r="C18" s="434"/>
      <c r="D18" s="434" t="s">
        <v>1283</v>
      </c>
      <c r="F18" s="434"/>
      <c r="H18" s="506">
        <f>+'3.ต้นทุนวางท่อ'!H18</f>
        <v>19042.060000000001</v>
      </c>
      <c r="J18" s="436" t="s">
        <v>8</v>
      </c>
      <c r="K18" s="437" t="s">
        <v>4</v>
      </c>
      <c r="L18" s="441">
        <f t="shared" si="1"/>
        <v>65</v>
      </c>
      <c r="M18" s="437" t="s">
        <v>5</v>
      </c>
      <c r="N18" s="2386">
        <f>IF(แหล่งวัสดุ!L$23=1,IF(L18&lt;=200,VLOOKUP(L18,'S2'!B$5:'S2'!F$204,2),IF(L18&gt;200,(L18-200)*'S2'!C$205+'S2'!C$204)),IF(แหล่งวัสดุ!L$23=2,IF(L18&lt;=200,VLOOKUP(L18,'S2'!B$5:'S2'!F$204,4),IF(L18&gt;200,(L18-200)*'S2'!E$205+'S2'!E$204))))</f>
        <v>90.01</v>
      </c>
      <c r="O18" s="283" t="s">
        <v>9</v>
      </c>
      <c r="P18" s="270"/>
      <c r="R18" s="437"/>
    </row>
    <row r="19" spans="1:62" s="283" customFormat="1" ht="18.95" customHeight="1">
      <c r="A19" s="283">
        <f t="shared" si="0"/>
        <v>8</v>
      </c>
      <c r="B19" s="369" t="str">
        <f t="shared" si="2"/>
        <v>สำนักดัชนีการค้า ปัตตานี (ตุลาคม 58)</v>
      </c>
      <c r="C19" s="434"/>
      <c r="D19" s="434" t="s">
        <v>2121</v>
      </c>
      <c r="F19" s="434"/>
      <c r="H19" s="506">
        <f>+แหล่งวัสดุ!F45</f>
        <v>19415.55</v>
      </c>
      <c r="J19" s="436" t="s">
        <v>8</v>
      </c>
      <c r="K19" s="2412" t="s">
        <v>4</v>
      </c>
      <c r="L19" s="441">
        <f t="shared" si="1"/>
        <v>65</v>
      </c>
      <c r="M19" s="2412" t="s">
        <v>5</v>
      </c>
      <c r="N19" s="2386">
        <f>IF(แหล่งวัสดุ!L$23=1,IF(L19&lt;=200,VLOOKUP(L19,'S2'!B$5:'S2'!F$204,2),IF(L19&gt;200,(L19-200)*'S2'!C$205+'S2'!C$204)),IF(แหล่งวัสดุ!L$23=2,IF(L19&lt;=200,VLOOKUP(L19,'S2'!B$5:'S2'!F$204,4),IF(L19&gt;200,(L19-200)*'S2'!E$205+'S2'!E$204))))</f>
        <v>90.01</v>
      </c>
      <c r="O19" s="283" t="s">
        <v>9</v>
      </c>
      <c r="P19" s="270"/>
      <c r="R19" s="2412"/>
    </row>
    <row r="20" spans="1:62" s="283" customFormat="1" ht="18.95" customHeight="1">
      <c r="A20" s="283">
        <f t="shared" si="0"/>
        <v>9</v>
      </c>
      <c r="B20" s="369" t="str">
        <f t="shared" si="2"/>
        <v>สำนักดัชนีการค้า ปัตตานี (ตุลาคม 58)</v>
      </c>
      <c r="C20" s="434"/>
      <c r="D20" s="434" t="s">
        <v>2123</v>
      </c>
      <c r="F20" s="434"/>
      <c r="H20" s="506">
        <f>+แหล่งวัสดุ!F41</f>
        <v>19521.96</v>
      </c>
      <c r="J20" s="436" t="s">
        <v>8</v>
      </c>
      <c r="K20" s="2412" t="s">
        <v>4</v>
      </c>
      <c r="L20" s="441">
        <f t="shared" si="1"/>
        <v>65</v>
      </c>
      <c r="M20" s="2412" t="s">
        <v>5</v>
      </c>
      <c r="N20" s="2386">
        <f>IF(แหล่งวัสดุ!L$23=1,IF(L20&lt;=200,VLOOKUP(L20,'S2'!B$5:'S2'!F$204,2),IF(L20&gt;200,(L20-200)*'S2'!C$205+'S2'!C$204)),IF(แหล่งวัสดุ!L$23=2,IF(L20&lt;=200,VLOOKUP(L20,'S2'!B$5:'S2'!F$204,4),IF(L20&gt;200,(L20-200)*'S2'!E$205+'S2'!E$204))))</f>
        <v>90.01</v>
      </c>
      <c r="O20" s="283" t="s">
        <v>9</v>
      </c>
      <c r="P20" s="270"/>
      <c r="R20" s="2412"/>
    </row>
    <row r="21" spans="1:62" s="283" customFormat="1" ht="18.95" customHeight="1">
      <c r="A21" s="283">
        <f t="shared" si="0"/>
        <v>10</v>
      </c>
      <c r="B21" s="369" t="str">
        <f t="shared" si="2"/>
        <v>สำนักดัชนีการค้า ปัตตานี (ตุลาคม 58)</v>
      </c>
      <c r="C21" s="434"/>
      <c r="D21" s="434" t="s">
        <v>2122</v>
      </c>
      <c r="F21" s="434"/>
      <c r="H21" s="506">
        <f>+แหล่งวัสดุ!F42</f>
        <v>18668.22</v>
      </c>
      <c r="J21" s="436" t="s">
        <v>8</v>
      </c>
      <c r="K21" s="2412" t="s">
        <v>4</v>
      </c>
      <c r="L21" s="441">
        <f t="shared" si="1"/>
        <v>65</v>
      </c>
      <c r="M21" s="2412" t="s">
        <v>5</v>
      </c>
      <c r="N21" s="2386">
        <f>IF(แหล่งวัสดุ!L$23=1,IF(L21&lt;=200,VLOOKUP(L21,'S2'!B$5:'S2'!F$204,2),IF(L21&gt;200,(L21-200)*'S2'!C$205+'S2'!C$204)),IF(แหล่งวัสดุ!L$23=2,IF(L21&lt;=200,VLOOKUP(L21,'S2'!B$5:'S2'!F$204,4),IF(L21&gt;200,(L21-200)*'S2'!E$205+'S2'!E$204))))</f>
        <v>90.01</v>
      </c>
      <c r="O21" s="283" t="s">
        <v>9</v>
      </c>
      <c r="P21" s="270"/>
      <c r="R21" s="2412"/>
    </row>
    <row r="22" spans="1:62" s="283" customFormat="1" ht="18.95" customHeight="1">
      <c r="A22" s="283">
        <f t="shared" si="0"/>
        <v>11</v>
      </c>
      <c r="B22" s="369" t="str">
        <f t="shared" si="2"/>
        <v>สำนักดัชนีการค้า ปัตตานี (ตุลาคม 58)</v>
      </c>
      <c r="C22" s="434"/>
      <c r="D22" s="434" t="s">
        <v>2131</v>
      </c>
      <c r="F22" s="434"/>
      <c r="H22" s="506">
        <f>+แหล่งวัสดุ!F72</f>
        <v>18000</v>
      </c>
      <c r="J22" s="436" t="s">
        <v>8</v>
      </c>
      <c r="K22" s="2439" t="s">
        <v>4</v>
      </c>
      <c r="L22" s="441">
        <f t="shared" si="1"/>
        <v>65</v>
      </c>
      <c r="M22" s="2439" t="s">
        <v>5</v>
      </c>
      <c r="N22" s="2386">
        <f>IF(แหล่งวัสดุ!L$23=1,IF(L22&lt;=200,VLOOKUP(L22,'S2'!B$5:'S2'!F$204,2),IF(L22&gt;200,(L22-200)*'S2'!C$205+'S2'!C$204)),IF(แหล่งวัสดุ!L$23=2,IF(L22&lt;=200,VLOOKUP(L22,'S2'!B$5:'S2'!F$204,4),IF(L22&gt;200,(L22-200)*'S2'!E$205+'S2'!E$204))))</f>
        <v>90.01</v>
      </c>
      <c r="O22" s="283" t="s">
        <v>9</v>
      </c>
      <c r="P22" s="270"/>
      <c r="R22" s="2439"/>
    </row>
    <row r="23" spans="1:62" s="283" customFormat="1" ht="18.95" customHeight="1">
      <c r="A23" s="283">
        <f t="shared" si="0"/>
        <v>12</v>
      </c>
      <c r="B23" s="369" t="str">
        <f>+B18</f>
        <v>สำนักดัชนีการค้า ปัตตานี (ตุลาคม 58)</v>
      </c>
      <c r="C23" s="434"/>
      <c r="D23" s="507" t="s">
        <v>265</v>
      </c>
      <c r="F23" s="434"/>
      <c r="H23" s="508">
        <f>+'3.ต้นทุนวางท่อ'!H19</f>
        <v>46.73</v>
      </c>
      <c r="J23" s="436" t="s">
        <v>449</v>
      </c>
      <c r="K23" s="437" t="s">
        <v>4</v>
      </c>
      <c r="L23" s="441">
        <f>+L18</f>
        <v>65</v>
      </c>
      <c r="M23" s="437" t="s">
        <v>5</v>
      </c>
      <c r="N23" s="2387"/>
      <c r="O23" s="283" t="s">
        <v>499</v>
      </c>
      <c r="P23" s="270"/>
      <c r="R23" s="437"/>
    </row>
    <row r="24" spans="1:62" s="283" customFormat="1" ht="18.95" customHeight="1">
      <c r="A24" s="283">
        <f t="shared" si="0"/>
        <v>13</v>
      </c>
      <c r="B24" s="369" t="str">
        <f t="shared" si="2"/>
        <v>สำนักดัชนีการค้า ปัตตานี (ตุลาคม 58)</v>
      </c>
      <c r="C24" s="434"/>
      <c r="D24" s="431" t="s">
        <v>489</v>
      </c>
      <c r="H24" s="508">
        <f>+'3.ต้นทุนวางท่อ'!H20</f>
        <v>532.88</v>
      </c>
      <c r="J24" s="436" t="s">
        <v>490</v>
      </c>
      <c r="K24" s="437" t="s">
        <v>4</v>
      </c>
      <c r="L24" s="441">
        <f t="shared" si="1"/>
        <v>65</v>
      </c>
      <c r="M24" s="437" t="s">
        <v>5</v>
      </c>
      <c r="N24" s="2388"/>
      <c r="O24" s="436" t="s">
        <v>490</v>
      </c>
      <c r="P24" s="270"/>
      <c r="R24" s="437"/>
    </row>
    <row r="25" spans="1:62" s="283" customFormat="1" ht="18.95" customHeight="1">
      <c r="A25" s="283">
        <f t="shared" si="0"/>
        <v>14</v>
      </c>
      <c r="B25" s="369" t="str">
        <f t="shared" si="2"/>
        <v>สำนักดัชนีการค้า ปัตตานี (ตุลาคม 58)</v>
      </c>
      <c r="C25" s="434"/>
      <c r="D25" s="431" t="s">
        <v>491</v>
      </c>
      <c r="H25" s="508">
        <f>+'3.ต้นทุนวางท่อ'!H21</f>
        <v>630</v>
      </c>
      <c r="J25" s="436" t="s">
        <v>492</v>
      </c>
      <c r="K25" s="437" t="s">
        <v>4</v>
      </c>
      <c r="L25" s="441">
        <f t="shared" si="1"/>
        <v>65</v>
      </c>
      <c r="M25" s="437" t="s">
        <v>5</v>
      </c>
      <c r="N25" s="2388"/>
      <c r="O25" s="436" t="s">
        <v>492</v>
      </c>
      <c r="P25" s="270"/>
      <c r="R25" s="437"/>
    </row>
    <row r="26" spans="1:62" s="283" customFormat="1" ht="18.95" customHeight="1">
      <c r="A26" s="283">
        <f t="shared" si="0"/>
        <v>15</v>
      </c>
      <c r="B26" s="369" t="str">
        <f t="shared" si="2"/>
        <v>สำนักดัชนีการค้า ปัตตานี (ตุลาคม 58)</v>
      </c>
      <c r="C26" s="434"/>
      <c r="D26" s="510" t="s">
        <v>493</v>
      </c>
      <c r="E26" s="440"/>
      <c r="H26" s="508">
        <f>+'3.ต้นทุนวางท่อ'!H22</f>
        <v>409.91</v>
      </c>
      <c r="J26" s="436" t="s">
        <v>490</v>
      </c>
      <c r="K26" s="437" t="s">
        <v>4</v>
      </c>
      <c r="L26" s="441">
        <f t="shared" si="1"/>
        <v>65</v>
      </c>
      <c r="M26" s="437" t="s">
        <v>5</v>
      </c>
      <c r="N26" s="2388"/>
      <c r="O26" s="436" t="s">
        <v>490</v>
      </c>
      <c r="P26" s="270"/>
      <c r="R26" s="437"/>
    </row>
    <row r="27" spans="1:62" s="283" customFormat="1" ht="18.95" customHeight="1">
      <c r="A27" s="283">
        <f t="shared" si="0"/>
        <v>16</v>
      </c>
      <c r="B27" s="369" t="str">
        <f t="shared" si="2"/>
        <v>สำนักดัชนีการค้า ปัตตานี (ตุลาคม 58)</v>
      </c>
      <c r="C27" s="434"/>
      <c r="D27" s="507" t="s">
        <v>267</v>
      </c>
      <c r="F27" s="434"/>
      <c r="H27" s="508">
        <f>+แหล่งวัสดุ!F59</f>
        <v>39.49</v>
      </c>
      <c r="J27" s="436" t="s">
        <v>502</v>
      </c>
      <c r="K27" s="437" t="s">
        <v>4</v>
      </c>
      <c r="L27" s="441">
        <f t="shared" si="1"/>
        <v>65</v>
      </c>
      <c r="M27" s="437" t="s">
        <v>5</v>
      </c>
      <c r="N27" s="2355"/>
      <c r="O27" s="436" t="s">
        <v>502</v>
      </c>
      <c r="P27" s="270"/>
      <c r="R27" s="437"/>
    </row>
    <row r="28" spans="1:62" s="283" customFormat="1" ht="18.95" customHeight="1">
      <c r="A28" s="283">
        <f t="shared" si="0"/>
        <v>17</v>
      </c>
      <c r="B28" s="283" t="str">
        <f>+B15</f>
        <v>ต.คลองเปียะ อ.จะนะ จ.สงขลา</v>
      </c>
      <c r="C28" s="434"/>
      <c r="D28" s="369" t="s">
        <v>703</v>
      </c>
      <c r="F28" s="434"/>
      <c r="H28" s="508">
        <v>400</v>
      </c>
      <c r="J28" s="430" t="s">
        <v>3</v>
      </c>
      <c r="K28" s="437" t="s">
        <v>4</v>
      </c>
      <c r="L28" s="441">
        <f>+L15</f>
        <v>40</v>
      </c>
      <c r="M28" s="437" t="s">
        <v>5</v>
      </c>
      <c r="N28" s="2355">
        <f>+N15</f>
        <v>77.88</v>
      </c>
      <c r="O28" s="430" t="s">
        <v>18</v>
      </c>
      <c r="P28" s="270"/>
      <c r="R28" s="437"/>
    </row>
    <row r="29" spans="1:62" ht="18.95" customHeight="1">
      <c r="A29" s="2742" t="s">
        <v>13</v>
      </c>
      <c r="B29" s="2742"/>
      <c r="C29" s="2742"/>
      <c r="D29" s="2742"/>
      <c r="E29" s="2742"/>
      <c r="F29" s="2742"/>
      <c r="G29" s="2742"/>
      <c r="H29" s="2742"/>
      <c r="I29" s="2742"/>
      <c r="J29" s="2742"/>
      <c r="K29" s="2742"/>
      <c r="L29" s="2742"/>
      <c r="M29" s="2742"/>
      <c r="N29" s="2742"/>
      <c r="O29" s="2742"/>
    </row>
    <row r="30" spans="1:62" ht="18.95" customHeight="1">
      <c r="A30" s="1969"/>
      <c r="B30" s="1969" t="s">
        <v>1936</v>
      </c>
      <c r="C30" s="1969"/>
      <c r="D30" s="1969"/>
      <c r="E30" s="1969"/>
      <c r="F30" s="1969"/>
      <c r="G30" s="1969"/>
      <c r="H30" s="1969"/>
      <c r="I30" s="1969"/>
      <c r="J30" s="1969"/>
      <c r="K30" s="1969"/>
      <c r="L30" s="1969"/>
      <c r="M30" s="1969"/>
      <c r="N30" s="1969"/>
      <c r="O30" s="1969"/>
    </row>
    <row r="31" spans="1:62" s="803" customFormat="1" ht="18.95" customHeight="1">
      <c r="A31" s="2009"/>
      <c r="B31" s="750" t="s">
        <v>1933</v>
      </c>
      <c r="C31" s="750">
        <f>+แหล่งวัสดุ!$U$61</f>
        <v>1</v>
      </c>
      <c r="D31" s="750" t="str">
        <f>+"ทราย = "&amp;แหล่งวัสดุ!$N$77</f>
        <v>ทราย = 1</v>
      </c>
      <c r="E31" s="750"/>
      <c r="G31" s="2010" t="str">
        <f>+"เหล็ก = "&amp;แหล่งวัสดุ!$U$69</f>
        <v>เหล็ก = 1</v>
      </c>
      <c r="I31" s="440" t="str">
        <f>+"หิน = "&amp;แหล่งวัสดุ!$N$53</f>
        <v>หิน = 1</v>
      </c>
      <c r="J31" s="750"/>
      <c r="K31" s="750" t="str">
        <f>+"ท่อ ="&amp;แหล่งวัสดุ!$U$77</f>
        <v>ท่อ =1</v>
      </c>
      <c r="L31" s="750"/>
      <c r="M31" s="750"/>
      <c r="N31" s="750"/>
      <c r="O31" s="750"/>
      <c r="R31" s="2008"/>
      <c r="AG31" s="461"/>
    </row>
    <row r="32" spans="1:62" s="283" customFormat="1" ht="18.95" customHeight="1">
      <c r="B32" s="2450" t="s">
        <v>2132</v>
      </c>
      <c r="C32" s="438"/>
      <c r="D32" s="446"/>
      <c r="E32" s="451"/>
      <c r="F32" s="438"/>
      <c r="G32" s="446"/>
      <c r="H32" s="452"/>
      <c r="I32" s="438"/>
      <c r="J32" s="514"/>
      <c r="K32" s="2443"/>
      <c r="L32" s="443"/>
      <c r="M32" s="442"/>
      <c r="R32" s="2443"/>
    </row>
    <row r="33" spans="2:18" s="283" customFormat="1" ht="18.95" customHeight="1">
      <c r="B33" s="454" t="s">
        <v>288</v>
      </c>
      <c r="G33" s="438" t="s">
        <v>22</v>
      </c>
      <c r="H33" s="456">
        <v>0.26</v>
      </c>
      <c r="J33" s="2442" t="s">
        <v>289</v>
      </c>
      <c r="K33" s="2444">
        <f>+J40</f>
        <v>3093.1200000000003</v>
      </c>
      <c r="L33" s="283" t="s">
        <v>43</v>
      </c>
      <c r="M33" s="2442" t="s">
        <v>14</v>
      </c>
      <c r="N33" s="2373">
        <f>K33*H33</f>
        <v>804.21120000000008</v>
      </c>
      <c r="O33" s="438" t="s">
        <v>43</v>
      </c>
      <c r="R33" s="2443"/>
    </row>
    <row r="34" spans="2:18" s="283" customFormat="1" ht="18.95" customHeight="1">
      <c r="B34" s="454" t="s">
        <v>290</v>
      </c>
      <c r="G34" s="438" t="s">
        <v>22</v>
      </c>
      <c r="H34" s="456">
        <v>0.62</v>
      </c>
      <c r="J34" s="2442" t="s">
        <v>262</v>
      </c>
      <c r="K34" s="2444">
        <f>+J41</f>
        <v>626.43000000000006</v>
      </c>
      <c r="L34" s="283" t="s">
        <v>43</v>
      </c>
      <c r="M34" s="2442" t="s">
        <v>14</v>
      </c>
      <c r="N34" s="2373">
        <f>K34*H34</f>
        <v>388.38660000000004</v>
      </c>
      <c r="O34" s="438" t="s">
        <v>43</v>
      </c>
      <c r="R34" s="2443"/>
    </row>
    <row r="35" spans="2:18" s="283" customFormat="1" ht="18.95" customHeight="1">
      <c r="B35" s="454" t="s">
        <v>291</v>
      </c>
      <c r="G35" s="438" t="s">
        <v>22</v>
      </c>
      <c r="H35" s="456">
        <v>1.03</v>
      </c>
      <c r="J35" s="2442" t="s">
        <v>262</v>
      </c>
      <c r="K35" s="2444">
        <f>+J42</f>
        <v>477.88</v>
      </c>
      <c r="L35" s="283" t="s">
        <v>43</v>
      </c>
      <c r="M35" s="2442" t="s">
        <v>14</v>
      </c>
      <c r="N35" s="2373">
        <f>K35*H35</f>
        <v>492.21640000000002</v>
      </c>
      <c r="O35" s="438" t="s">
        <v>43</v>
      </c>
      <c r="R35" s="2443"/>
    </row>
    <row r="36" spans="2:18" s="283" customFormat="1" ht="18.95" customHeight="1">
      <c r="B36" s="518" t="s">
        <v>1815</v>
      </c>
      <c r="G36" s="438" t="s">
        <v>22</v>
      </c>
      <c r="H36" s="456">
        <v>1</v>
      </c>
      <c r="J36" s="2442" t="s">
        <v>262</v>
      </c>
      <c r="K36" s="2444">
        <f>+'3.ต้นทุนวางท่อ'!K42</f>
        <v>398</v>
      </c>
      <c r="L36" s="283" t="s">
        <v>43</v>
      </c>
      <c r="M36" s="2442" t="s">
        <v>14</v>
      </c>
      <c r="N36" s="2373">
        <f>K36*H36</f>
        <v>398</v>
      </c>
      <c r="O36" s="438" t="s">
        <v>43</v>
      </c>
      <c r="R36" s="2443"/>
    </row>
    <row r="37" spans="2:18" s="283" customFormat="1" ht="18.95" customHeight="1">
      <c r="B37" s="2736" t="s">
        <v>292</v>
      </c>
      <c r="C37" s="2736"/>
      <c r="D37" s="2736"/>
      <c r="E37" s="2736"/>
      <c r="F37" s="2736"/>
      <c r="J37" s="515"/>
      <c r="M37" s="2442" t="s">
        <v>14</v>
      </c>
      <c r="N37" s="2373">
        <f>SUM(N33:N36)</f>
        <v>2082.8141999999998</v>
      </c>
      <c r="O37" s="438" t="s">
        <v>43</v>
      </c>
      <c r="R37" s="2443"/>
    </row>
    <row r="38" spans="2:18" s="283" customFormat="1" ht="18.95" customHeight="1" thickBot="1">
      <c r="C38" s="438"/>
      <c r="D38" s="446"/>
      <c r="E38" s="451"/>
      <c r="F38" s="516" t="s">
        <v>1604</v>
      </c>
      <c r="J38" s="515"/>
      <c r="M38" s="2442" t="s">
        <v>14</v>
      </c>
      <c r="N38" s="517">
        <f>ROUNDDOWN(N37,)</f>
        <v>2082</v>
      </c>
      <c r="O38" s="438" t="s">
        <v>3</v>
      </c>
      <c r="R38" s="2443"/>
    </row>
    <row r="39" spans="2:18" s="352" customFormat="1" ht="18.95" customHeight="1" thickTop="1">
      <c r="B39" s="549" t="s">
        <v>2133</v>
      </c>
      <c r="C39" s="550"/>
      <c r="D39" s="551"/>
      <c r="E39" s="550"/>
      <c r="F39" s="551"/>
      <c r="G39" s="452"/>
      <c r="H39" s="514"/>
      <c r="I39" s="377"/>
      <c r="J39" s="381"/>
      <c r="K39" s="395"/>
      <c r="P39" s="377"/>
    </row>
    <row r="40" spans="2:18" s="352" customFormat="1" ht="18" customHeight="1">
      <c r="B40" s="552" t="s">
        <v>288</v>
      </c>
      <c r="F40" s="551" t="s">
        <v>22</v>
      </c>
      <c r="G40" s="553">
        <v>0.30399999999999999</v>
      </c>
      <c r="H40" s="554" t="s">
        <v>289</v>
      </c>
      <c r="J40" s="449">
        <f>+'3.ต้นทุนวางท่อ'!K46</f>
        <v>3093.1200000000003</v>
      </c>
      <c r="K40" s="352" t="s">
        <v>43</v>
      </c>
      <c r="M40" s="551" t="s">
        <v>14</v>
      </c>
      <c r="N40" s="2353">
        <f>J40*G40</f>
        <v>940.30848000000003</v>
      </c>
      <c r="O40" s="550" t="s">
        <v>43</v>
      </c>
      <c r="P40" s="377"/>
    </row>
    <row r="41" spans="2:18" s="352" customFormat="1" ht="18" customHeight="1">
      <c r="B41" s="552" t="s">
        <v>290</v>
      </c>
      <c r="F41" s="551" t="s">
        <v>22</v>
      </c>
      <c r="G41" s="553">
        <v>0.43</v>
      </c>
      <c r="H41" s="554" t="s">
        <v>262</v>
      </c>
      <c r="J41" s="449">
        <f>+'3.ต้นทุนวางท่อ'!K47</f>
        <v>626.43000000000006</v>
      </c>
      <c r="K41" s="352" t="s">
        <v>43</v>
      </c>
      <c r="M41" s="551" t="s">
        <v>14</v>
      </c>
      <c r="N41" s="2353">
        <f>J41*G41</f>
        <v>269.36490000000003</v>
      </c>
      <c r="O41" s="550" t="s">
        <v>43</v>
      </c>
      <c r="P41" s="377"/>
    </row>
    <row r="42" spans="2:18" s="352" customFormat="1" ht="18" customHeight="1">
      <c r="B42" s="552" t="s">
        <v>291</v>
      </c>
      <c r="F42" s="551" t="s">
        <v>22</v>
      </c>
      <c r="G42" s="553">
        <v>0.99</v>
      </c>
      <c r="H42" s="554" t="s">
        <v>262</v>
      </c>
      <c r="J42" s="449">
        <f>+'3.ต้นทุนวางท่อ'!K48</f>
        <v>477.88</v>
      </c>
      <c r="K42" s="352" t="s">
        <v>43</v>
      </c>
      <c r="M42" s="551" t="s">
        <v>14</v>
      </c>
      <c r="N42" s="2353">
        <f>J42*G42</f>
        <v>473.10120000000001</v>
      </c>
      <c r="O42" s="550" t="s">
        <v>43</v>
      </c>
      <c r="P42" s="377"/>
    </row>
    <row r="43" spans="2:18" s="283" customFormat="1" ht="18.95" customHeight="1">
      <c r="B43" s="518" t="s">
        <v>1815</v>
      </c>
      <c r="F43" s="446" t="s">
        <v>22</v>
      </c>
      <c r="G43" s="456">
        <v>1</v>
      </c>
      <c r="H43" s="2347" t="s">
        <v>262</v>
      </c>
      <c r="J43" s="2349">
        <f>+แหล่งวัสดุ!V18</f>
        <v>436</v>
      </c>
      <c r="K43" s="283" t="s">
        <v>43</v>
      </c>
      <c r="M43" s="2347" t="s">
        <v>14</v>
      </c>
      <c r="N43" s="2373">
        <f>J43*G43</f>
        <v>436</v>
      </c>
      <c r="O43" s="438" t="s">
        <v>43</v>
      </c>
      <c r="R43" s="2348"/>
    </row>
    <row r="44" spans="2:18" s="352" customFormat="1" ht="18" customHeight="1">
      <c r="B44" s="2745" t="s">
        <v>292</v>
      </c>
      <c r="C44" s="2745"/>
      <c r="D44" s="2745"/>
      <c r="E44" s="2745"/>
      <c r="F44" s="551"/>
      <c r="G44" s="553"/>
      <c r="H44" s="554"/>
      <c r="J44" s="449"/>
      <c r="M44" s="551" t="s">
        <v>14</v>
      </c>
      <c r="N44" s="2353">
        <f>ROUND(SUM(N40:N43),2)</f>
        <v>2118.77</v>
      </c>
      <c r="O44" s="550" t="s">
        <v>43</v>
      </c>
      <c r="P44" s="377"/>
    </row>
    <row r="45" spans="2:18" s="352" customFormat="1" ht="18" customHeight="1" thickBot="1">
      <c r="C45" s="550"/>
      <c r="D45" s="556" t="s">
        <v>475</v>
      </c>
      <c r="H45" s="515"/>
      <c r="M45" s="551" t="s">
        <v>14</v>
      </c>
      <c r="N45" s="517">
        <f>ROUNDDOWN(N44,)</f>
        <v>2118</v>
      </c>
      <c r="O45" s="550" t="s">
        <v>3</v>
      </c>
      <c r="P45" s="377"/>
    </row>
    <row r="46" spans="2:18" s="352" customFormat="1" ht="18" customHeight="1" thickTop="1">
      <c r="B46" s="549" t="s">
        <v>2134</v>
      </c>
      <c r="C46" s="550"/>
      <c r="D46" s="551"/>
      <c r="E46" s="550"/>
      <c r="F46" s="551"/>
      <c r="G46" s="452"/>
      <c r="H46" s="514"/>
      <c r="I46" s="377"/>
      <c r="J46" s="381"/>
      <c r="M46" s="395"/>
      <c r="P46" s="377"/>
    </row>
    <row r="47" spans="2:18" s="352" customFormat="1" ht="18" customHeight="1">
      <c r="B47" s="552" t="s">
        <v>288</v>
      </c>
      <c r="F47" s="551" t="s">
        <v>22</v>
      </c>
      <c r="G47" s="553">
        <v>0.33600000000000002</v>
      </c>
      <c r="H47" s="554" t="s">
        <v>289</v>
      </c>
      <c r="J47" s="449">
        <f>+J40</f>
        <v>3093.1200000000003</v>
      </c>
      <c r="K47" s="352" t="s">
        <v>43</v>
      </c>
      <c r="M47" s="551" t="s">
        <v>14</v>
      </c>
      <c r="N47" s="2353">
        <f>J47*G47</f>
        <v>1039.2883200000001</v>
      </c>
      <c r="O47" s="550" t="s">
        <v>43</v>
      </c>
      <c r="P47" s="377"/>
    </row>
    <row r="48" spans="2:18" s="352" customFormat="1" ht="18" customHeight="1">
      <c r="B48" s="552" t="s">
        <v>290</v>
      </c>
      <c r="F48" s="551" t="s">
        <v>22</v>
      </c>
      <c r="G48" s="553">
        <v>0.6</v>
      </c>
      <c r="H48" s="554" t="s">
        <v>262</v>
      </c>
      <c r="J48" s="449">
        <f>J41</f>
        <v>626.43000000000006</v>
      </c>
      <c r="K48" s="352" t="s">
        <v>43</v>
      </c>
      <c r="M48" s="551" t="s">
        <v>14</v>
      </c>
      <c r="N48" s="2353">
        <f>J48*G48</f>
        <v>375.858</v>
      </c>
      <c r="O48" s="550" t="s">
        <v>43</v>
      </c>
      <c r="P48" s="377"/>
    </row>
    <row r="49" spans="1:114" s="352" customFormat="1" ht="18" customHeight="1">
      <c r="B49" s="552" t="s">
        <v>291</v>
      </c>
      <c r="F49" s="551" t="s">
        <v>22</v>
      </c>
      <c r="G49" s="553">
        <v>1.0900000000000001</v>
      </c>
      <c r="H49" s="554" t="s">
        <v>262</v>
      </c>
      <c r="J49" s="449">
        <f>J42</f>
        <v>477.88</v>
      </c>
      <c r="K49" s="352" t="s">
        <v>43</v>
      </c>
      <c r="M49" s="551" t="s">
        <v>14</v>
      </c>
      <c r="N49" s="2353">
        <f>J49*G49</f>
        <v>520.88920000000007</v>
      </c>
      <c r="O49" s="550" t="s">
        <v>43</v>
      </c>
      <c r="P49" s="377"/>
    </row>
    <row r="50" spans="1:114" s="283" customFormat="1" ht="18.95" customHeight="1">
      <c r="B50" s="518" t="s">
        <v>1815</v>
      </c>
      <c r="F50" s="446" t="s">
        <v>22</v>
      </c>
      <c r="G50" s="456">
        <v>1</v>
      </c>
      <c r="H50" s="2347" t="s">
        <v>262</v>
      </c>
      <c r="J50" s="2349">
        <f>+J43</f>
        <v>436</v>
      </c>
      <c r="K50" s="283" t="s">
        <v>43</v>
      </c>
      <c r="M50" s="2347" t="s">
        <v>14</v>
      </c>
      <c r="N50" s="2373">
        <f>J50*G50</f>
        <v>436</v>
      </c>
      <c r="O50" s="438" t="s">
        <v>43</v>
      </c>
      <c r="R50" s="2348"/>
    </row>
    <row r="51" spans="1:114" s="352" customFormat="1" ht="18" customHeight="1">
      <c r="B51" s="2745" t="s">
        <v>292</v>
      </c>
      <c r="C51" s="2745"/>
      <c r="D51" s="2745"/>
      <c r="E51" s="2745"/>
      <c r="F51" s="551"/>
      <c r="G51" s="553"/>
      <c r="H51" s="554"/>
      <c r="I51" s="449"/>
      <c r="M51" s="551" t="s">
        <v>14</v>
      </c>
      <c r="N51" s="2353">
        <f>SUM(N47:N50)</f>
        <v>2372.0355200000004</v>
      </c>
      <c r="O51" s="550" t="s">
        <v>43</v>
      </c>
      <c r="P51" s="377"/>
    </row>
    <row r="52" spans="1:114" s="352" customFormat="1" ht="18" customHeight="1" thickBot="1">
      <c r="B52" s="557"/>
      <c r="C52" s="550"/>
      <c r="D52" s="556" t="s">
        <v>474</v>
      </c>
      <c r="H52" s="515"/>
      <c r="M52" s="551" t="s">
        <v>14</v>
      </c>
      <c r="N52" s="517">
        <f>ROUNDDOWN(N51,2)</f>
        <v>2372.0300000000002</v>
      </c>
      <c r="O52" s="550" t="s">
        <v>3</v>
      </c>
      <c r="P52" s="377"/>
    </row>
    <row r="53" spans="1:114" s="561" customFormat="1" ht="18" customHeight="1" thickTop="1">
      <c r="A53" s="558"/>
      <c r="B53" s="559" t="s">
        <v>503</v>
      </c>
      <c r="C53" s="550"/>
      <c r="D53" s="551"/>
      <c r="E53" s="550"/>
      <c r="F53" s="560"/>
      <c r="G53" s="560"/>
      <c r="H53" s="560"/>
      <c r="I53" s="551"/>
      <c r="J53" s="452"/>
      <c r="M53" s="550"/>
      <c r="N53" s="171"/>
      <c r="O53" s="171"/>
      <c r="P53" s="562"/>
      <c r="Q53" s="171"/>
      <c r="R53" s="171"/>
      <c r="S53" s="171"/>
      <c r="T53" s="171"/>
      <c r="U53" s="171"/>
      <c r="V53" s="171"/>
      <c r="W53" s="171"/>
      <c r="X53" s="171"/>
      <c r="Y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E53" s="171"/>
      <c r="BF53" s="171"/>
      <c r="BG53" s="171"/>
      <c r="BH53" s="171"/>
      <c r="BI53" s="171"/>
      <c r="BJ53" s="171"/>
      <c r="BK53" s="171"/>
      <c r="BL53" s="171"/>
      <c r="BM53" s="171"/>
      <c r="BN53" s="171"/>
      <c r="BO53" s="171"/>
      <c r="BP53" s="171"/>
      <c r="BQ53" s="171"/>
      <c r="BR53" s="171"/>
      <c r="BS53" s="171"/>
      <c r="BT53" s="171"/>
      <c r="BU53" s="171"/>
      <c r="BV53" s="171"/>
      <c r="BW53" s="171"/>
      <c r="BX53" s="171"/>
      <c r="BY53" s="171"/>
      <c r="BZ53" s="171"/>
      <c r="CA53" s="171"/>
      <c r="CB53" s="171"/>
      <c r="CC53" s="171"/>
      <c r="CD53" s="171"/>
      <c r="CE53" s="171"/>
      <c r="CF53" s="171"/>
      <c r="CG53" s="171"/>
      <c r="CH53" s="171"/>
      <c r="CI53" s="171"/>
      <c r="CJ53" s="171"/>
      <c r="CK53" s="171"/>
      <c r="CL53" s="171"/>
      <c r="CM53" s="171"/>
      <c r="CN53" s="171"/>
      <c r="CO53" s="171"/>
      <c r="CP53" s="171"/>
      <c r="CQ53" s="171"/>
      <c r="CR53" s="171"/>
      <c r="CS53" s="171"/>
      <c r="CT53" s="171"/>
      <c r="CU53" s="171"/>
      <c r="CV53" s="171"/>
      <c r="CW53" s="171"/>
      <c r="CX53" s="171"/>
      <c r="CY53" s="171"/>
      <c r="CZ53" s="171"/>
      <c r="DA53" s="171"/>
      <c r="DB53" s="171"/>
      <c r="DC53" s="171"/>
      <c r="DD53" s="171"/>
      <c r="DE53" s="171"/>
      <c r="DF53" s="171"/>
      <c r="DG53" s="171"/>
      <c r="DH53" s="171"/>
      <c r="DI53" s="171"/>
      <c r="DJ53" s="171"/>
    </row>
    <row r="54" spans="1:114" s="561" customFormat="1" ht="18" customHeight="1">
      <c r="A54" s="558"/>
      <c r="B54" s="550" t="s">
        <v>478</v>
      </c>
      <c r="D54" s="554">
        <v>1</v>
      </c>
      <c r="E54" s="550" t="s">
        <v>479</v>
      </c>
      <c r="G54" s="563">
        <f>ROUND(H24,2)</f>
        <v>532.88</v>
      </c>
      <c r="H54" s="550" t="s">
        <v>1711</v>
      </c>
      <c r="M54" s="551" t="s">
        <v>14</v>
      </c>
      <c r="N54" s="2354">
        <f>ROUND(G54/4,2)</f>
        <v>133.22</v>
      </c>
      <c r="O54" s="550" t="s">
        <v>43</v>
      </c>
      <c r="P54" s="562"/>
      <c r="Q54" s="171"/>
      <c r="R54" s="171"/>
      <c r="S54" s="171"/>
      <c r="T54" s="171"/>
      <c r="U54" s="171"/>
      <c r="V54" s="171"/>
      <c r="W54" s="171"/>
      <c r="X54" s="171"/>
      <c r="Y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A54" s="171"/>
      <c r="BB54" s="171"/>
      <c r="BC54" s="171"/>
      <c r="BD54" s="171"/>
      <c r="BE54" s="171"/>
      <c r="BF54" s="171"/>
      <c r="BG54" s="171"/>
      <c r="BH54" s="171"/>
      <c r="BI54" s="171"/>
      <c r="BJ54" s="171"/>
      <c r="BK54" s="171"/>
      <c r="BL54" s="171"/>
      <c r="BM54" s="171"/>
      <c r="BN54" s="171"/>
      <c r="BO54" s="171"/>
      <c r="BP54" s="171"/>
      <c r="BQ54" s="171"/>
      <c r="BR54" s="171"/>
      <c r="BS54" s="171"/>
      <c r="BT54" s="171"/>
      <c r="BU54" s="171"/>
      <c r="BV54" s="171"/>
      <c r="BW54" s="171"/>
      <c r="BX54" s="171"/>
      <c r="BY54" s="171"/>
      <c r="BZ54" s="171"/>
      <c r="CA54" s="171"/>
      <c r="CB54" s="171"/>
      <c r="CC54" s="171"/>
      <c r="CD54" s="171"/>
      <c r="CE54" s="171"/>
      <c r="CF54" s="171"/>
      <c r="CG54" s="171"/>
      <c r="CH54" s="171"/>
      <c r="CI54" s="171"/>
      <c r="CJ54" s="171"/>
      <c r="CK54" s="171"/>
      <c r="CL54" s="171"/>
      <c r="CM54" s="171"/>
      <c r="CN54" s="171"/>
      <c r="CO54" s="171"/>
      <c r="CP54" s="171"/>
      <c r="CQ54" s="171"/>
      <c r="CR54" s="171"/>
      <c r="CS54" s="171"/>
      <c r="CT54" s="171"/>
      <c r="CU54" s="171"/>
      <c r="CV54" s="171"/>
      <c r="CW54" s="171"/>
      <c r="CX54" s="171"/>
      <c r="CY54" s="171"/>
      <c r="CZ54" s="171"/>
      <c r="DA54" s="171"/>
      <c r="DB54" s="171"/>
      <c r="DC54" s="171"/>
      <c r="DD54" s="171"/>
      <c r="DE54" s="171"/>
      <c r="DF54" s="171"/>
      <c r="DG54" s="171"/>
      <c r="DH54" s="171"/>
      <c r="DI54" s="171"/>
      <c r="DJ54" s="171"/>
    </row>
    <row r="55" spans="1:114" s="561" customFormat="1" ht="18" customHeight="1">
      <c r="A55" s="558"/>
      <c r="B55" s="550" t="s">
        <v>480</v>
      </c>
      <c r="D55" s="554">
        <v>1</v>
      </c>
      <c r="E55" s="550" t="s">
        <v>481</v>
      </c>
      <c r="G55" s="564">
        <f>ROUND(H25,2)</f>
        <v>630</v>
      </c>
      <c r="H55" s="550" t="s">
        <v>1711</v>
      </c>
      <c r="M55" s="551" t="s">
        <v>14</v>
      </c>
      <c r="N55" s="2354">
        <f>ROUND(G55/4,2)</f>
        <v>157.5</v>
      </c>
      <c r="O55" s="550" t="s">
        <v>43</v>
      </c>
      <c r="P55" s="562"/>
      <c r="Q55" s="171"/>
      <c r="R55" s="171"/>
      <c r="S55" s="171"/>
      <c r="T55" s="171"/>
      <c r="U55" s="171"/>
      <c r="V55" s="171"/>
      <c r="W55" s="171"/>
      <c r="X55" s="171"/>
      <c r="Y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1"/>
      <c r="BQ55" s="171"/>
      <c r="BR55" s="171"/>
      <c r="BS55" s="171"/>
      <c r="BT55" s="171"/>
      <c r="BU55" s="171"/>
      <c r="BV55" s="171"/>
      <c r="BW55" s="171"/>
      <c r="BX55" s="171"/>
      <c r="BY55" s="171"/>
      <c r="BZ55" s="171"/>
      <c r="CA55" s="171"/>
      <c r="CB55" s="171"/>
      <c r="CC55" s="171"/>
      <c r="CD55" s="171"/>
      <c r="CE55" s="171"/>
      <c r="CF55" s="171"/>
      <c r="CG55" s="171"/>
      <c r="CH55" s="171"/>
      <c r="CI55" s="171"/>
      <c r="CJ55" s="171"/>
      <c r="CK55" s="171"/>
      <c r="CL55" s="171"/>
      <c r="CM55" s="171"/>
      <c r="CN55" s="171"/>
      <c r="CO55" s="171"/>
      <c r="CP55" s="171"/>
      <c r="CQ55" s="171"/>
      <c r="CR55" s="171"/>
      <c r="CS55" s="171"/>
      <c r="CT55" s="171"/>
      <c r="CU55" s="171"/>
      <c r="CV55" s="171"/>
      <c r="CW55" s="171"/>
      <c r="CX55" s="171"/>
      <c r="CY55" s="171"/>
      <c r="CZ55" s="171"/>
      <c r="DA55" s="171"/>
      <c r="DB55" s="171"/>
      <c r="DC55" s="171"/>
      <c r="DD55" s="171"/>
      <c r="DE55" s="171"/>
      <c r="DF55" s="171"/>
      <c r="DG55" s="171"/>
      <c r="DH55" s="171"/>
      <c r="DI55" s="171"/>
      <c r="DJ55" s="171"/>
    </row>
    <row r="56" spans="1:114" s="561" customFormat="1" ht="18" customHeight="1">
      <c r="A56" s="558"/>
      <c r="B56" s="550" t="s">
        <v>482</v>
      </c>
      <c r="D56" s="565">
        <v>0.3</v>
      </c>
      <c r="E56" s="550" t="s">
        <v>479</v>
      </c>
      <c r="G56" s="564">
        <f>ROUND(H26,2)</f>
        <v>409.91</v>
      </c>
      <c r="H56" s="550" t="s">
        <v>1711</v>
      </c>
      <c r="M56" s="551" t="s">
        <v>14</v>
      </c>
      <c r="N56" s="2354">
        <f>ROUND(G56*D56/4,2)</f>
        <v>30.74</v>
      </c>
      <c r="O56" s="550" t="s">
        <v>31</v>
      </c>
      <c r="P56" s="562"/>
      <c r="Q56" s="171"/>
      <c r="R56" s="171"/>
      <c r="S56" s="171"/>
      <c r="T56" s="171"/>
      <c r="U56" s="171"/>
      <c r="V56" s="171"/>
      <c r="W56" s="171"/>
      <c r="X56" s="171"/>
      <c r="Y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  <c r="BH56" s="171"/>
      <c r="BI56" s="171"/>
      <c r="BJ56" s="171"/>
      <c r="BK56" s="171"/>
      <c r="BL56" s="171"/>
      <c r="BM56" s="171"/>
      <c r="BN56" s="171"/>
      <c r="BO56" s="171"/>
      <c r="BP56" s="171"/>
      <c r="BQ56" s="171"/>
      <c r="BR56" s="171"/>
      <c r="BS56" s="171"/>
      <c r="BT56" s="171"/>
      <c r="BU56" s="171"/>
      <c r="BV56" s="171"/>
      <c r="BW56" s="171"/>
      <c r="BX56" s="171"/>
      <c r="BY56" s="171"/>
      <c r="BZ56" s="171"/>
      <c r="CA56" s="171"/>
      <c r="CB56" s="171"/>
      <c r="CC56" s="171"/>
      <c r="CD56" s="171"/>
      <c r="CE56" s="171"/>
      <c r="CF56" s="171"/>
      <c r="CG56" s="171"/>
      <c r="CH56" s="171"/>
      <c r="CI56" s="171"/>
      <c r="CJ56" s="171"/>
      <c r="CK56" s="171"/>
      <c r="CL56" s="171"/>
      <c r="CM56" s="171"/>
      <c r="CN56" s="171"/>
      <c r="CO56" s="171"/>
      <c r="CP56" s="171"/>
      <c r="CQ56" s="171"/>
      <c r="CR56" s="171"/>
      <c r="CS56" s="171"/>
      <c r="CT56" s="171"/>
      <c r="CU56" s="171"/>
      <c r="CV56" s="171"/>
      <c r="CW56" s="171"/>
      <c r="CX56" s="171"/>
      <c r="CY56" s="171"/>
      <c r="CZ56" s="171"/>
      <c r="DA56" s="171"/>
      <c r="DB56" s="171"/>
      <c r="DC56" s="171"/>
      <c r="DD56" s="171"/>
      <c r="DE56" s="171"/>
      <c r="DF56" s="171"/>
      <c r="DG56" s="171"/>
      <c r="DH56" s="171"/>
      <c r="DI56" s="171"/>
      <c r="DJ56" s="171"/>
    </row>
    <row r="57" spans="1:114" s="561" customFormat="1" ht="18" customHeight="1">
      <c r="A57" s="558"/>
      <c r="B57" s="550" t="s">
        <v>483</v>
      </c>
      <c r="D57" s="565">
        <v>0.25</v>
      </c>
      <c r="E57" s="550" t="s">
        <v>484</v>
      </c>
      <c r="G57" s="566">
        <f>H27</f>
        <v>39.49</v>
      </c>
      <c r="H57" s="560" t="s">
        <v>43</v>
      </c>
      <c r="M57" s="551" t="s">
        <v>14</v>
      </c>
      <c r="N57" s="2354">
        <f>D57*G57</f>
        <v>9.8725000000000005</v>
      </c>
      <c r="O57" s="550" t="s">
        <v>31</v>
      </c>
      <c r="P57" s="562"/>
      <c r="Q57" s="171"/>
      <c r="R57" s="171"/>
      <c r="S57" s="171"/>
      <c r="T57" s="171"/>
      <c r="U57" s="171"/>
      <c r="V57" s="171"/>
      <c r="W57" s="171"/>
      <c r="X57" s="171"/>
      <c r="Y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AZ57" s="171"/>
      <c r="BA57" s="171"/>
      <c r="BB57" s="171"/>
      <c r="BC57" s="171"/>
      <c r="BD57" s="171"/>
      <c r="BE57" s="171"/>
      <c r="BF57" s="171"/>
      <c r="BG57" s="171"/>
      <c r="BH57" s="171"/>
      <c r="BI57" s="171"/>
      <c r="BJ57" s="171"/>
      <c r="BK57" s="171"/>
      <c r="BL57" s="171"/>
      <c r="BM57" s="171"/>
      <c r="BN57" s="171"/>
      <c r="BO57" s="171"/>
      <c r="BP57" s="171"/>
      <c r="BQ57" s="171"/>
      <c r="BR57" s="171"/>
      <c r="BS57" s="171"/>
      <c r="BT57" s="171"/>
      <c r="BU57" s="171"/>
      <c r="BV57" s="171"/>
      <c r="BW57" s="171"/>
      <c r="BX57" s="171"/>
      <c r="BY57" s="171"/>
      <c r="BZ57" s="171"/>
      <c r="CA57" s="171"/>
      <c r="CB57" s="171"/>
      <c r="CC57" s="171"/>
      <c r="CD57" s="171"/>
      <c r="CE57" s="171"/>
      <c r="CF57" s="171"/>
      <c r="CG57" s="171"/>
      <c r="CH57" s="171"/>
      <c r="CI57" s="171"/>
      <c r="CJ57" s="171"/>
      <c r="CK57" s="171"/>
      <c r="CL57" s="171"/>
      <c r="CM57" s="171"/>
      <c r="CN57" s="171"/>
      <c r="CO57" s="171"/>
      <c r="CP57" s="171"/>
      <c r="CQ57" s="171"/>
      <c r="CR57" s="171"/>
      <c r="CS57" s="171"/>
      <c r="CT57" s="171"/>
      <c r="CU57" s="171"/>
      <c r="CV57" s="171"/>
      <c r="CW57" s="171"/>
      <c r="CX57" s="171"/>
      <c r="CY57" s="171"/>
      <c r="CZ57" s="171"/>
      <c r="DA57" s="171"/>
      <c r="DB57" s="171"/>
      <c r="DC57" s="171"/>
      <c r="DD57" s="171"/>
      <c r="DE57" s="171"/>
      <c r="DF57" s="171"/>
      <c r="DG57" s="171"/>
      <c r="DH57" s="171"/>
      <c r="DI57" s="171"/>
      <c r="DJ57" s="171"/>
    </row>
    <row r="58" spans="1:114" s="561" customFormat="1" ht="18" customHeight="1">
      <c r="A58" s="558"/>
      <c r="B58" s="550" t="s">
        <v>485</v>
      </c>
      <c r="D58" s="565">
        <v>1</v>
      </c>
      <c r="E58" s="550" t="s">
        <v>481</v>
      </c>
      <c r="G58" s="567">
        <v>20</v>
      </c>
      <c r="H58" s="560" t="s">
        <v>43</v>
      </c>
      <c r="M58" s="551" t="s">
        <v>14</v>
      </c>
      <c r="N58" s="2354">
        <f>D58*G58</f>
        <v>20</v>
      </c>
      <c r="O58" s="550" t="s">
        <v>43</v>
      </c>
      <c r="P58" s="562"/>
      <c r="Q58" s="171"/>
      <c r="R58" s="171"/>
      <c r="S58" s="171"/>
      <c r="T58" s="171"/>
      <c r="U58" s="171"/>
      <c r="V58" s="171"/>
      <c r="W58" s="171"/>
      <c r="X58" s="171"/>
      <c r="Y58" s="171"/>
      <c r="AA58" s="171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AZ58" s="171"/>
      <c r="BA58" s="171"/>
      <c r="BB58" s="171"/>
      <c r="BC58" s="171"/>
      <c r="BD58" s="171"/>
      <c r="BE58" s="171"/>
      <c r="BF58" s="171"/>
      <c r="BG58" s="171"/>
      <c r="BH58" s="171"/>
      <c r="BI58" s="171"/>
      <c r="BJ58" s="171"/>
      <c r="BK58" s="171"/>
      <c r="BL58" s="171"/>
      <c r="BM58" s="171"/>
      <c r="BN58" s="171"/>
      <c r="BO58" s="171"/>
      <c r="BP58" s="171"/>
      <c r="BQ58" s="171"/>
      <c r="BR58" s="171"/>
      <c r="BS58" s="171"/>
      <c r="BT58" s="171"/>
      <c r="BU58" s="171"/>
      <c r="BV58" s="171"/>
      <c r="BW58" s="171"/>
      <c r="BX58" s="171"/>
      <c r="BY58" s="171"/>
      <c r="BZ58" s="171"/>
      <c r="CA58" s="171"/>
      <c r="CB58" s="171"/>
      <c r="CC58" s="171"/>
      <c r="CD58" s="171"/>
      <c r="CE58" s="171"/>
      <c r="CF58" s="171"/>
      <c r="CG58" s="171"/>
      <c r="CH58" s="171"/>
      <c r="CI58" s="171"/>
      <c r="CJ58" s="171"/>
      <c r="CK58" s="171"/>
      <c r="CL58" s="171"/>
      <c r="CM58" s="171"/>
      <c r="CN58" s="171"/>
      <c r="CO58" s="171"/>
      <c r="CP58" s="171"/>
      <c r="CQ58" s="171"/>
      <c r="CR58" s="171"/>
      <c r="CS58" s="171"/>
      <c r="CT58" s="171"/>
      <c r="CU58" s="171"/>
      <c r="CV58" s="171"/>
      <c r="CW58" s="171"/>
      <c r="CX58" s="171"/>
      <c r="CY58" s="171"/>
      <c r="CZ58" s="171"/>
      <c r="DA58" s="171"/>
      <c r="DB58" s="171"/>
      <c r="DC58" s="171"/>
      <c r="DD58" s="171"/>
      <c r="DE58" s="171"/>
      <c r="DF58" s="171"/>
      <c r="DG58" s="171"/>
      <c r="DH58" s="171"/>
      <c r="DI58" s="171"/>
      <c r="DJ58" s="171"/>
    </row>
    <row r="59" spans="1:114" s="568" customFormat="1" ht="18" customHeight="1">
      <c r="A59" s="558"/>
      <c r="B59" s="551" t="s">
        <v>486</v>
      </c>
      <c r="C59" s="550"/>
      <c r="D59" s="550"/>
      <c r="E59" s="550"/>
      <c r="F59" s="560"/>
      <c r="G59" s="560"/>
      <c r="H59" s="560"/>
      <c r="I59" s="550" t="s">
        <v>487</v>
      </c>
      <c r="M59" s="551" t="s">
        <v>14</v>
      </c>
      <c r="N59" s="2354">
        <f>SUM(N54:N58)</f>
        <v>351.33250000000004</v>
      </c>
      <c r="O59" s="550" t="s">
        <v>43</v>
      </c>
      <c r="P59" s="569"/>
      <c r="Q59" s="570"/>
      <c r="R59" s="570"/>
      <c r="S59" s="570"/>
      <c r="T59" s="570"/>
      <c r="U59" s="570"/>
      <c r="V59" s="570"/>
      <c r="W59" s="570"/>
      <c r="X59" s="570"/>
      <c r="Y59" s="570"/>
      <c r="BB59" s="570"/>
      <c r="BC59" s="570"/>
      <c r="BD59" s="570"/>
      <c r="BE59" s="570"/>
      <c r="BF59" s="570"/>
      <c r="BG59" s="570"/>
      <c r="BH59" s="570"/>
      <c r="BI59" s="570"/>
      <c r="BJ59" s="570"/>
      <c r="BK59" s="570"/>
      <c r="BL59" s="570"/>
      <c r="BM59" s="570"/>
      <c r="BN59" s="570"/>
      <c r="BO59" s="570"/>
      <c r="BP59" s="570"/>
      <c r="BQ59" s="570"/>
      <c r="BR59" s="570"/>
      <c r="BS59" s="570"/>
      <c r="BT59" s="570"/>
      <c r="BU59" s="570"/>
      <c r="BV59" s="570"/>
      <c r="BW59" s="570"/>
      <c r="BX59" s="570"/>
      <c r="BY59" s="570"/>
      <c r="BZ59" s="570"/>
      <c r="CA59" s="570"/>
      <c r="CB59" s="570"/>
      <c r="CC59" s="570"/>
      <c r="CD59" s="570"/>
      <c r="CE59" s="570"/>
      <c r="CF59" s="570"/>
      <c r="CG59" s="570"/>
      <c r="CH59" s="570"/>
      <c r="CI59" s="570"/>
      <c r="CJ59" s="570"/>
      <c r="CK59" s="570"/>
      <c r="CL59" s="570"/>
      <c r="CM59" s="570"/>
      <c r="CN59" s="570"/>
      <c r="CO59" s="570"/>
      <c r="CP59" s="570"/>
      <c r="CQ59" s="570"/>
      <c r="CR59" s="570"/>
      <c r="CS59" s="570"/>
      <c r="CT59" s="570"/>
      <c r="CU59" s="570"/>
      <c r="CV59" s="570"/>
      <c r="CW59" s="570"/>
      <c r="CX59" s="570"/>
      <c r="CY59" s="570"/>
      <c r="CZ59" s="570"/>
      <c r="DA59" s="570"/>
      <c r="DB59" s="570"/>
      <c r="DC59" s="570"/>
      <c r="DD59" s="570"/>
      <c r="DE59" s="570"/>
      <c r="DF59" s="570"/>
      <c r="DG59" s="570"/>
      <c r="DH59" s="570"/>
      <c r="DI59" s="570"/>
      <c r="DJ59" s="570"/>
    </row>
    <row r="60" spans="1:114" s="568" customFormat="1" ht="18" customHeight="1" thickBot="1">
      <c r="A60" s="571"/>
      <c r="C60" s="572"/>
      <c r="D60" s="556" t="s">
        <v>547</v>
      </c>
      <c r="F60" s="573"/>
      <c r="G60" s="573"/>
      <c r="H60" s="573"/>
      <c r="I60" s="574" t="s">
        <v>487</v>
      </c>
      <c r="M60" s="575" t="s">
        <v>14</v>
      </c>
      <c r="N60" s="523">
        <f>ROUNDDOWN(N59,1)</f>
        <v>351.3</v>
      </c>
      <c r="O60" s="574" t="s">
        <v>43</v>
      </c>
      <c r="P60" s="569"/>
      <c r="Q60" s="570"/>
      <c r="R60" s="570"/>
      <c r="S60" s="570"/>
      <c r="T60" s="570"/>
      <c r="U60" s="570"/>
      <c r="V60" s="570"/>
      <c r="W60" s="570"/>
      <c r="X60" s="570"/>
      <c r="Y60" s="570"/>
      <c r="BB60" s="570"/>
      <c r="BC60" s="570"/>
      <c r="BD60" s="570"/>
      <c r="BE60" s="570"/>
      <c r="BF60" s="570"/>
      <c r="BG60" s="570"/>
      <c r="BH60" s="570"/>
      <c r="BI60" s="570"/>
      <c r="BJ60" s="570"/>
      <c r="BK60" s="570"/>
      <c r="BL60" s="570"/>
      <c r="BM60" s="570"/>
      <c r="BN60" s="570"/>
      <c r="BO60" s="570"/>
      <c r="BP60" s="570"/>
      <c r="BQ60" s="570"/>
      <c r="BR60" s="570"/>
      <c r="BS60" s="570"/>
      <c r="BT60" s="570"/>
      <c r="BU60" s="570"/>
      <c r="BV60" s="570"/>
      <c r="BW60" s="570"/>
      <c r="BX60" s="570"/>
      <c r="BY60" s="570"/>
      <c r="BZ60" s="570"/>
      <c r="CA60" s="570"/>
      <c r="CB60" s="570"/>
      <c r="CC60" s="570"/>
      <c r="CD60" s="570"/>
      <c r="CE60" s="570"/>
      <c r="CF60" s="570"/>
      <c r="CG60" s="570"/>
      <c r="CH60" s="570"/>
      <c r="CI60" s="570"/>
      <c r="CJ60" s="570"/>
      <c r="CK60" s="570"/>
      <c r="CL60" s="570"/>
      <c r="CM60" s="570"/>
      <c r="CN60" s="570"/>
      <c r="CO60" s="570"/>
      <c r="CP60" s="570"/>
      <c r="CQ60" s="570"/>
      <c r="CR60" s="570"/>
      <c r="CS60" s="570"/>
      <c r="CT60" s="570"/>
      <c r="CU60" s="570"/>
      <c r="CV60" s="570"/>
      <c r="CW60" s="570"/>
      <c r="CX60" s="570"/>
      <c r="CY60" s="570"/>
      <c r="CZ60" s="570"/>
      <c r="DA60" s="570"/>
      <c r="DB60" s="570"/>
      <c r="DC60" s="570"/>
      <c r="DD60" s="570"/>
      <c r="DE60" s="570"/>
      <c r="DF60" s="570"/>
      <c r="DG60" s="570"/>
      <c r="DH60" s="570"/>
      <c r="DI60" s="570"/>
      <c r="DJ60" s="570"/>
    </row>
    <row r="61" spans="1:114" s="568" customFormat="1" ht="18" customHeight="1" thickTop="1">
      <c r="A61" s="571"/>
      <c r="B61" s="559" t="s">
        <v>2135</v>
      </c>
      <c r="C61" s="572"/>
      <c r="D61" s="574"/>
      <c r="E61" s="570"/>
      <c r="F61" s="573"/>
      <c r="G61" s="573"/>
      <c r="H61" s="573"/>
      <c r="I61" s="574"/>
      <c r="M61" s="575"/>
      <c r="N61" s="464"/>
      <c r="O61" s="574"/>
      <c r="P61" s="569"/>
      <c r="Q61" s="570"/>
      <c r="R61" s="570"/>
      <c r="S61" s="570"/>
      <c r="T61" s="570"/>
      <c r="U61" s="570"/>
      <c r="V61" s="570"/>
      <c r="W61" s="570"/>
      <c r="X61" s="570"/>
      <c r="Y61" s="570"/>
      <c r="BB61" s="570"/>
      <c r="BC61" s="570"/>
      <c r="BD61" s="570"/>
      <c r="BE61" s="570"/>
      <c r="BF61" s="570"/>
      <c r="BG61" s="570"/>
      <c r="BH61" s="570"/>
      <c r="BI61" s="570"/>
      <c r="BJ61" s="570"/>
      <c r="BK61" s="570"/>
      <c r="BL61" s="570"/>
      <c r="BM61" s="570"/>
      <c r="BN61" s="570"/>
      <c r="BO61" s="570"/>
      <c r="BP61" s="570"/>
      <c r="BQ61" s="570"/>
      <c r="BR61" s="570"/>
      <c r="BS61" s="570"/>
      <c r="BT61" s="570"/>
      <c r="BU61" s="570"/>
      <c r="BV61" s="570"/>
      <c r="BW61" s="570"/>
      <c r="BX61" s="570"/>
      <c r="BY61" s="570"/>
      <c r="BZ61" s="570"/>
      <c r="CA61" s="570"/>
      <c r="CB61" s="570"/>
      <c r="CC61" s="570"/>
      <c r="CD61" s="570"/>
      <c r="CE61" s="570"/>
      <c r="CF61" s="570"/>
      <c r="CG61" s="570"/>
      <c r="CH61" s="570"/>
      <c r="CI61" s="570"/>
      <c r="CJ61" s="570"/>
      <c r="CK61" s="570"/>
      <c r="CL61" s="570"/>
      <c r="CM61" s="570"/>
      <c r="CN61" s="570"/>
      <c r="CO61" s="570"/>
      <c r="CP61" s="570"/>
      <c r="CQ61" s="570"/>
      <c r="CR61" s="570"/>
      <c r="CS61" s="570"/>
      <c r="CT61" s="570"/>
      <c r="CU61" s="570"/>
      <c r="CV61" s="570"/>
      <c r="CW61" s="570"/>
      <c r="CX61" s="570"/>
      <c r="CY61" s="570"/>
      <c r="CZ61" s="570"/>
      <c r="DA61" s="570"/>
      <c r="DB61" s="570"/>
      <c r="DC61" s="570"/>
      <c r="DD61" s="570"/>
      <c r="DE61" s="570"/>
      <c r="DF61" s="570"/>
      <c r="DG61" s="570"/>
      <c r="DH61" s="570"/>
      <c r="DI61" s="570"/>
      <c r="DJ61" s="570"/>
    </row>
    <row r="62" spans="1:114" s="568" customFormat="1" ht="18" customHeight="1">
      <c r="A62" s="571"/>
      <c r="B62" s="572" t="s">
        <v>498</v>
      </c>
      <c r="C62" s="572"/>
      <c r="D62" s="576">
        <f>+BackupAC!A85</f>
        <v>0.5</v>
      </c>
      <c r="E62" s="577" t="s">
        <v>182</v>
      </c>
      <c r="F62" s="573" t="s">
        <v>656</v>
      </c>
      <c r="G62" s="573"/>
      <c r="H62" s="573">
        <f>ROUND((SQRT((BackupAC!B85^2+BackupAC!B85^2))+BackupAC!A85+SQRT((1^2+0.5^2))),2)</f>
        <v>2.33</v>
      </c>
      <c r="I62" s="574" t="s">
        <v>31</v>
      </c>
      <c r="M62" s="575"/>
      <c r="N62" s="464"/>
      <c r="O62" s="574"/>
      <c r="P62" s="569"/>
      <c r="Q62" s="570"/>
      <c r="R62" s="570"/>
      <c r="S62" s="570"/>
      <c r="T62" s="570"/>
      <c r="U62" s="570"/>
      <c r="V62" s="570"/>
      <c r="W62" s="570"/>
      <c r="X62" s="570"/>
      <c r="Y62" s="570"/>
      <c r="BB62" s="570"/>
      <c r="BC62" s="570"/>
      <c r="BD62" s="570"/>
      <c r="BE62" s="570"/>
      <c r="BF62" s="570"/>
      <c r="BG62" s="570"/>
      <c r="BH62" s="570"/>
      <c r="BI62" s="570"/>
      <c r="BJ62" s="570"/>
      <c r="BK62" s="570"/>
      <c r="BL62" s="570"/>
      <c r="BM62" s="570"/>
      <c r="BN62" s="570"/>
      <c r="BO62" s="570"/>
      <c r="BP62" s="570"/>
      <c r="BQ62" s="570"/>
      <c r="BR62" s="570"/>
      <c r="BS62" s="570"/>
      <c r="BT62" s="570"/>
      <c r="BU62" s="570"/>
      <c r="BV62" s="570"/>
      <c r="BW62" s="570"/>
      <c r="BX62" s="570"/>
      <c r="BY62" s="570"/>
      <c r="BZ62" s="570"/>
      <c r="CA62" s="570"/>
      <c r="CB62" s="570"/>
      <c r="CC62" s="570"/>
      <c r="CD62" s="570"/>
      <c r="CE62" s="570"/>
      <c r="CF62" s="570"/>
      <c r="CG62" s="570"/>
      <c r="CH62" s="570"/>
      <c r="CI62" s="570"/>
      <c r="CJ62" s="570"/>
      <c r="CK62" s="570"/>
      <c r="CL62" s="570"/>
      <c r="CM62" s="570"/>
      <c r="CN62" s="570"/>
      <c r="CO62" s="570"/>
      <c r="CP62" s="570"/>
      <c r="CQ62" s="570"/>
      <c r="CR62" s="570"/>
      <c r="CS62" s="570"/>
      <c r="CT62" s="570"/>
      <c r="CU62" s="570"/>
      <c r="CV62" s="570"/>
      <c r="CW62" s="570"/>
      <c r="CX62" s="570"/>
      <c r="CY62" s="570"/>
      <c r="CZ62" s="570"/>
      <c r="DA62" s="570"/>
      <c r="DB62" s="570"/>
      <c r="DC62" s="570"/>
      <c r="DD62" s="570"/>
      <c r="DE62" s="570"/>
      <c r="DF62" s="570"/>
      <c r="DG62" s="570"/>
      <c r="DH62" s="570"/>
      <c r="DI62" s="570"/>
      <c r="DJ62" s="570"/>
    </row>
    <row r="63" spans="1:114" s="568" customFormat="1" ht="18" customHeight="1">
      <c r="A63" s="571"/>
      <c r="B63" s="574" t="s">
        <v>1617</v>
      </c>
      <c r="C63" s="572"/>
      <c r="D63" s="1283" t="s">
        <v>22</v>
      </c>
      <c r="E63" s="577"/>
      <c r="F63" s="1284">
        <f>+ROUND((0.5*(D62+D62+1)*0.5),2)</f>
        <v>0.5</v>
      </c>
      <c r="G63" s="580" t="s">
        <v>262</v>
      </c>
      <c r="H63" s="1284">
        <f>+'S2'!BF33</f>
        <v>20.92</v>
      </c>
      <c r="I63" s="574" t="s">
        <v>43</v>
      </c>
      <c r="M63" s="551" t="s">
        <v>14</v>
      </c>
      <c r="N63" s="2381">
        <f t="shared" ref="N63:N68" si="3">H63*F63</f>
        <v>10.46</v>
      </c>
      <c r="O63" s="574" t="s">
        <v>43</v>
      </c>
      <c r="P63" s="569"/>
      <c r="Q63" s="570"/>
      <c r="R63" s="570"/>
      <c r="S63" s="570"/>
      <c r="T63" s="570"/>
      <c r="U63" s="570"/>
      <c r="V63" s="570"/>
      <c r="W63" s="570"/>
      <c r="X63" s="570"/>
      <c r="Y63" s="570"/>
      <c r="BB63" s="570"/>
      <c r="BC63" s="570"/>
      <c r="BD63" s="570"/>
      <c r="BE63" s="570"/>
      <c r="BF63" s="570"/>
      <c r="BG63" s="570"/>
      <c r="BH63" s="570"/>
      <c r="BI63" s="570"/>
      <c r="BJ63" s="570"/>
      <c r="BK63" s="570"/>
      <c r="BL63" s="570"/>
      <c r="BM63" s="570"/>
      <c r="BN63" s="570"/>
      <c r="BO63" s="570"/>
      <c r="BP63" s="570"/>
      <c r="BQ63" s="570"/>
      <c r="BR63" s="570"/>
      <c r="BS63" s="570"/>
      <c r="BT63" s="570"/>
      <c r="BU63" s="570"/>
      <c r="BV63" s="570"/>
      <c r="BW63" s="570"/>
      <c r="BX63" s="570"/>
      <c r="BY63" s="570"/>
      <c r="BZ63" s="570"/>
      <c r="CA63" s="570"/>
      <c r="CB63" s="570"/>
      <c r="CC63" s="570"/>
      <c r="CD63" s="570"/>
      <c r="CE63" s="570"/>
      <c r="CF63" s="570"/>
      <c r="CG63" s="570"/>
      <c r="CH63" s="570"/>
      <c r="CI63" s="570"/>
      <c r="CJ63" s="570"/>
      <c r="CK63" s="570"/>
      <c r="CL63" s="570"/>
      <c r="CM63" s="570"/>
      <c r="CN63" s="570"/>
      <c r="CO63" s="570"/>
      <c r="CP63" s="570"/>
      <c r="CQ63" s="570"/>
      <c r="CR63" s="570"/>
      <c r="CS63" s="570"/>
      <c r="CT63" s="570"/>
      <c r="CU63" s="570"/>
      <c r="CV63" s="570"/>
      <c r="CW63" s="570"/>
      <c r="CX63" s="570"/>
      <c r="CY63" s="570"/>
      <c r="CZ63" s="570"/>
      <c r="DA63" s="570"/>
      <c r="DB63" s="570"/>
      <c r="DC63" s="570"/>
      <c r="DD63" s="570"/>
      <c r="DE63" s="570"/>
      <c r="DF63" s="570"/>
      <c r="DG63" s="570"/>
      <c r="DH63" s="570"/>
      <c r="DI63" s="570"/>
      <c r="DJ63" s="570"/>
    </row>
    <row r="64" spans="1:114" s="568" customFormat="1" ht="18" customHeight="1">
      <c r="A64" s="571"/>
      <c r="B64" s="267" t="s">
        <v>261</v>
      </c>
      <c r="C64" s="572"/>
      <c r="D64" s="579" t="s">
        <v>22</v>
      </c>
      <c r="F64" s="1470">
        <f>+ROUND(BackupAC!D85,2)</f>
        <v>0.16</v>
      </c>
      <c r="G64" s="580" t="s">
        <v>262</v>
      </c>
      <c r="H64" s="581">
        <f>N52</f>
        <v>2372.0300000000002</v>
      </c>
      <c r="I64" s="352" t="s">
        <v>43</v>
      </c>
      <c r="M64" s="551" t="s">
        <v>14</v>
      </c>
      <c r="N64" s="2381">
        <f t="shared" si="3"/>
        <v>379.52480000000003</v>
      </c>
      <c r="O64" s="574" t="s">
        <v>43</v>
      </c>
      <c r="R64" s="570"/>
      <c r="S64" s="570"/>
      <c r="T64" s="570"/>
      <c r="U64" s="570"/>
      <c r="V64" s="570"/>
      <c r="W64" s="570"/>
      <c r="X64" s="570"/>
      <c r="Y64" s="570"/>
      <c r="BB64" s="570"/>
      <c r="BC64" s="570"/>
      <c r="BD64" s="570"/>
      <c r="BE64" s="570"/>
      <c r="BF64" s="570"/>
      <c r="BG64" s="570"/>
      <c r="BH64" s="570"/>
      <c r="BI64" s="570"/>
      <c r="BJ64" s="570"/>
      <c r="BK64" s="570"/>
      <c r="BL64" s="570"/>
      <c r="BM64" s="570"/>
      <c r="BN64" s="570"/>
      <c r="BO64" s="570"/>
      <c r="BP64" s="570"/>
      <c r="BQ64" s="570"/>
      <c r="BR64" s="570"/>
      <c r="BS64" s="570"/>
      <c r="BT64" s="570"/>
      <c r="BU64" s="570"/>
      <c r="BV64" s="570"/>
      <c r="BW64" s="570"/>
      <c r="BX64" s="570"/>
      <c r="BY64" s="570"/>
      <c r="BZ64" s="570"/>
      <c r="CA64" s="570"/>
      <c r="CB64" s="570"/>
      <c r="CC64" s="570"/>
      <c r="CD64" s="570"/>
      <c r="CE64" s="570"/>
      <c r="CF64" s="570"/>
      <c r="CG64" s="570"/>
      <c r="CH64" s="570"/>
      <c r="CI64" s="570"/>
      <c r="CJ64" s="570"/>
      <c r="CK64" s="570"/>
      <c r="CL64" s="570"/>
      <c r="CM64" s="570"/>
      <c r="CN64" s="570"/>
      <c r="CO64" s="570"/>
      <c r="CP64" s="570"/>
      <c r="CQ64" s="570"/>
      <c r="CR64" s="570"/>
      <c r="CS64" s="570"/>
      <c r="CT64" s="570"/>
      <c r="CU64" s="570"/>
      <c r="CV64" s="570"/>
      <c r="CW64" s="570"/>
      <c r="CX64" s="570"/>
      <c r="CY64" s="570"/>
      <c r="CZ64" s="570"/>
      <c r="DA64" s="570"/>
      <c r="DB64" s="570"/>
      <c r="DC64" s="570"/>
      <c r="DD64" s="570"/>
      <c r="DE64" s="570"/>
      <c r="DF64" s="570"/>
      <c r="DG64" s="570"/>
      <c r="DH64" s="570"/>
      <c r="DI64" s="570"/>
      <c r="DJ64" s="570"/>
    </row>
    <row r="65" spans="1:114" s="568" customFormat="1" ht="18" customHeight="1">
      <c r="A65" s="571"/>
      <c r="B65" s="267" t="s">
        <v>414</v>
      </c>
      <c r="C65" s="572"/>
      <c r="D65" s="579" t="s">
        <v>22</v>
      </c>
      <c r="F65" s="573">
        <f>+ROUND(BackupAC!J85,2)</f>
        <v>5.98</v>
      </c>
      <c r="G65" s="578" t="s">
        <v>264</v>
      </c>
      <c r="H65" s="573">
        <f>ROUND((H16+N16*แหล่งวัสดุ!$U$69)/1000,2)</f>
        <v>19.989999999999998</v>
      </c>
      <c r="I65" s="352" t="s">
        <v>43</v>
      </c>
      <c r="M65" s="551" t="s">
        <v>14</v>
      </c>
      <c r="N65" s="2382">
        <f t="shared" si="3"/>
        <v>119.5402</v>
      </c>
      <c r="O65" s="574" t="s">
        <v>43</v>
      </c>
      <c r="P65" s="569"/>
      <c r="Q65" s="570"/>
      <c r="R65" s="570"/>
      <c r="S65" s="570"/>
      <c r="T65" s="570"/>
      <c r="U65" s="570"/>
      <c r="V65" s="570"/>
      <c r="W65" s="570"/>
      <c r="X65" s="570"/>
      <c r="Y65" s="570"/>
      <c r="BB65" s="570"/>
      <c r="BC65" s="570"/>
      <c r="BD65" s="570"/>
      <c r="BE65" s="570"/>
      <c r="BF65" s="570"/>
      <c r="BG65" s="570"/>
      <c r="BH65" s="570"/>
      <c r="BI65" s="570"/>
      <c r="BJ65" s="570"/>
      <c r="BK65" s="570"/>
      <c r="BL65" s="570"/>
      <c r="BM65" s="570"/>
      <c r="BN65" s="570"/>
      <c r="BO65" s="570"/>
      <c r="BP65" s="570"/>
      <c r="BQ65" s="570"/>
      <c r="BR65" s="570"/>
      <c r="BS65" s="570"/>
      <c r="BT65" s="570"/>
      <c r="BU65" s="570"/>
      <c r="BV65" s="570"/>
      <c r="BW65" s="570"/>
      <c r="BX65" s="570"/>
      <c r="BY65" s="570"/>
      <c r="BZ65" s="570"/>
      <c r="CA65" s="570"/>
      <c r="CB65" s="570"/>
      <c r="CC65" s="570"/>
      <c r="CD65" s="570"/>
      <c r="CE65" s="570"/>
      <c r="CF65" s="570"/>
      <c r="CG65" s="570"/>
      <c r="CH65" s="570"/>
      <c r="CI65" s="570"/>
      <c r="CJ65" s="570"/>
      <c r="CK65" s="570"/>
      <c r="CL65" s="570"/>
      <c r="CM65" s="570"/>
      <c r="CN65" s="570"/>
      <c r="CO65" s="570"/>
      <c r="CP65" s="570"/>
      <c r="CQ65" s="570"/>
      <c r="CR65" s="570"/>
      <c r="CS65" s="570"/>
      <c r="CT65" s="570"/>
      <c r="CU65" s="570"/>
      <c r="CV65" s="570"/>
      <c r="CW65" s="570"/>
      <c r="CX65" s="570"/>
      <c r="CY65" s="570"/>
      <c r="CZ65" s="570"/>
      <c r="DA65" s="570"/>
      <c r="DB65" s="570"/>
      <c r="DC65" s="570"/>
      <c r="DD65" s="570"/>
      <c r="DE65" s="570"/>
      <c r="DF65" s="570"/>
      <c r="DG65" s="570"/>
      <c r="DH65" s="570"/>
      <c r="DI65" s="570"/>
      <c r="DJ65" s="570"/>
    </row>
    <row r="66" spans="1:114" s="568" customFormat="1" ht="18" customHeight="1">
      <c r="A66" s="571"/>
      <c r="B66" s="267" t="s">
        <v>265</v>
      </c>
      <c r="C66" s="572"/>
      <c r="D66" s="579" t="s">
        <v>22</v>
      </c>
      <c r="F66" s="573">
        <f>ROUND(F65*0.025,2)</f>
        <v>0.15</v>
      </c>
      <c r="G66" s="578" t="s">
        <v>264</v>
      </c>
      <c r="H66" s="2380">
        <f>H23</f>
        <v>46.73</v>
      </c>
      <c r="I66" s="352" t="s">
        <v>43</v>
      </c>
      <c r="M66" s="551" t="s">
        <v>14</v>
      </c>
      <c r="N66" s="2382">
        <f t="shared" si="3"/>
        <v>7.0094999999999992</v>
      </c>
      <c r="O66" s="574" t="s">
        <v>43</v>
      </c>
      <c r="P66" s="569"/>
      <c r="Q66" s="570"/>
      <c r="R66" s="570"/>
      <c r="S66" s="570"/>
      <c r="T66" s="570"/>
      <c r="U66" s="570"/>
      <c r="V66" s="570"/>
      <c r="W66" s="570"/>
      <c r="X66" s="570"/>
      <c r="Y66" s="570"/>
      <c r="BB66" s="570"/>
      <c r="BC66" s="570"/>
      <c r="BD66" s="570"/>
      <c r="BE66" s="570"/>
      <c r="BF66" s="570"/>
      <c r="BG66" s="570"/>
      <c r="BH66" s="570"/>
      <c r="BI66" s="570"/>
      <c r="BJ66" s="570"/>
      <c r="BK66" s="570"/>
      <c r="BL66" s="570"/>
      <c r="BM66" s="570"/>
      <c r="BN66" s="570"/>
      <c r="BO66" s="570"/>
      <c r="BP66" s="570"/>
      <c r="BQ66" s="570"/>
      <c r="BR66" s="570"/>
      <c r="BS66" s="570"/>
      <c r="BT66" s="570"/>
      <c r="BU66" s="570"/>
      <c r="BV66" s="570"/>
      <c r="BW66" s="570"/>
      <c r="BX66" s="570"/>
      <c r="BY66" s="570"/>
      <c r="BZ66" s="570"/>
      <c r="CA66" s="570"/>
      <c r="CB66" s="570"/>
      <c r="CC66" s="570"/>
      <c r="CD66" s="570"/>
      <c r="CE66" s="570"/>
      <c r="CF66" s="570"/>
      <c r="CG66" s="570"/>
      <c r="CH66" s="570"/>
      <c r="CI66" s="570"/>
      <c r="CJ66" s="570"/>
      <c r="CK66" s="570"/>
      <c r="CL66" s="570"/>
      <c r="CM66" s="570"/>
      <c r="CN66" s="570"/>
      <c r="CO66" s="570"/>
      <c r="CP66" s="570"/>
      <c r="CQ66" s="570"/>
      <c r="CR66" s="570"/>
      <c r="CS66" s="570"/>
      <c r="CT66" s="570"/>
      <c r="CU66" s="570"/>
      <c r="CV66" s="570"/>
      <c r="CW66" s="570"/>
      <c r="CX66" s="570"/>
      <c r="CY66" s="570"/>
      <c r="CZ66" s="570"/>
      <c r="DA66" s="570"/>
      <c r="DB66" s="570"/>
      <c r="DC66" s="570"/>
      <c r="DD66" s="570"/>
      <c r="DE66" s="570"/>
      <c r="DF66" s="570"/>
      <c r="DG66" s="570"/>
      <c r="DH66" s="570"/>
      <c r="DI66" s="570"/>
      <c r="DJ66" s="570"/>
    </row>
    <row r="67" spans="1:114" s="568" customFormat="1" ht="18" customHeight="1">
      <c r="A67" s="571"/>
      <c r="B67" s="555" t="s">
        <v>283</v>
      </c>
      <c r="C67" s="572"/>
      <c r="D67" s="579" t="s">
        <v>22</v>
      </c>
      <c r="F67" s="573">
        <f>+ROUND(BackupAC!E85,2)</f>
        <v>0.16</v>
      </c>
      <c r="G67" s="580" t="s">
        <v>500</v>
      </c>
      <c r="H67" s="581">
        <f>N60</f>
        <v>351.3</v>
      </c>
      <c r="I67" s="352" t="s">
        <v>43</v>
      </c>
      <c r="M67" s="551" t="s">
        <v>14</v>
      </c>
      <c r="N67" s="2382">
        <f t="shared" si="3"/>
        <v>56.208000000000006</v>
      </c>
      <c r="O67" s="574" t="s">
        <v>43</v>
      </c>
      <c r="P67" s="569"/>
      <c r="Q67" s="570"/>
      <c r="R67" s="570"/>
      <c r="S67" s="570"/>
      <c r="T67" s="570"/>
      <c r="U67" s="570"/>
      <c r="V67" s="570"/>
      <c r="W67" s="570"/>
      <c r="X67" s="570"/>
      <c r="Y67" s="570"/>
      <c r="BB67" s="570"/>
      <c r="BC67" s="570"/>
      <c r="BD67" s="570"/>
      <c r="BE67" s="570"/>
      <c r="BF67" s="570"/>
      <c r="BG67" s="570"/>
      <c r="BH67" s="570"/>
      <c r="BI67" s="570"/>
      <c r="BJ67" s="570"/>
      <c r="BK67" s="570"/>
      <c r="BL67" s="570"/>
      <c r="BM67" s="570"/>
      <c r="BN67" s="570"/>
      <c r="BO67" s="570"/>
      <c r="BP67" s="570"/>
      <c r="BQ67" s="570"/>
      <c r="BR67" s="570"/>
      <c r="BS67" s="570"/>
      <c r="BT67" s="570"/>
      <c r="BU67" s="570"/>
      <c r="BV67" s="570"/>
      <c r="BW67" s="570"/>
      <c r="BX67" s="570"/>
      <c r="BY67" s="570"/>
      <c r="BZ67" s="570"/>
      <c r="CA67" s="570"/>
      <c r="CB67" s="570"/>
      <c r="CC67" s="570"/>
      <c r="CD67" s="570"/>
      <c r="CE67" s="570"/>
      <c r="CF67" s="570"/>
      <c r="CG67" s="570"/>
      <c r="CH67" s="570"/>
      <c r="CI67" s="570"/>
      <c r="CJ67" s="570"/>
      <c r="CK67" s="570"/>
      <c r="CL67" s="570"/>
      <c r="CM67" s="570"/>
      <c r="CN67" s="570"/>
      <c r="CO67" s="570"/>
      <c r="CP67" s="570"/>
      <c r="CQ67" s="570"/>
      <c r="CR67" s="570"/>
      <c r="CS67" s="570"/>
      <c r="CT67" s="570"/>
      <c r="CU67" s="570"/>
      <c r="CV67" s="570"/>
      <c r="CW67" s="570"/>
      <c r="CX67" s="570"/>
      <c r="CY67" s="570"/>
      <c r="CZ67" s="570"/>
      <c r="DA67" s="570"/>
      <c r="DB67" s="570"/>
      <c r="DC67" s="570"/>
      <c r="DD67" s="570"/>
      <c r="DE67" s="570"/>
      <c r="DF67" s="570"/>
      <c r="DG67" s="570"/>
      <c r="DH67" s="570"/>
      <c r="DI67" s="570"/>
      <c r="DJ67" s="570"/>
    </row>
    <row r="68" spans="1:114" s="568" customFormat="1" ht="18" customHeight="1">
      <c r="A68" s="571"/>
      <c r="B68" s="267" t="s">
        <v>267</v>
      </c>
      <c r="C68" s="572"/>
      <c r="D68" s="579" t="s">
        <v>22</v>
      </c>
      <c r="F68" s="573">
        <f>ROUND(F67*0.25,2)</f>
        <v>0.04</v>
      </c>
      <c r="G68" s="578" t="s">
        <v>264</v>
      </c>
      <c r="H68" s="582">
        <f>H27</f>
        <v>39.49</v>
      </c>
      <c r="I68" s="352" t="s">
        <v>43</v>
      </c>
      <c r="M68" s="551" t="s">
        <v>14</v>
      </c>
      <c r="N68" s="2382">
        <f t="shared" si="3"/>
        <v>1.5796000000000001</v>
      </c>
      <c r="O68" s="574" t="s">
        <v>43</v>
      </c>
      <c r="P68" s="569"/>
      <c r="Q68" s="570"/>
      <c r="R68" s="570"/>
      <c r="S68" s="570"/>
      <c r="T68" s="570"/>
      <c r="U68" s="570"/>
      <c r="V68" s="570"/>
      <c r="W68" s="570"/>
      <c r="X68" s="570"/>
      <c r="Y68" s="570"/>
      <c r="BB68" s="570"/>
      <c r="BC68" s="570"/>
      <c r="BD68" s="570"/>
      <c r="BE68" s="570"/>
      <c r="BF68" s="570"/>
      <c r="BG68" s="570"/>
      <c r="BH68" s="570"/>
      <c r="BI68" s="570"/>
      <c r="BJ68" s="570"/>
      <c r="BK68" s="570"/>
      <c r="BL68" s="570"/>
      <c r="BM68" s="570"/>
      <c r="BN68" s="570"/>
      <c r="BO68" s="570"/>
      <c r="BP68" s="570"/>
      <c r="BQ68" s="570"/>
      <c r="BR68" s="570"/>
      <c r="BS68" s="570"/>
      <c r="BT68" s="570"/>
      <c r="BU68" s="570"/>
      <c r="BV68" s="570"/>
      <c r="BW68" s="570"/>
      <c r="BX68" s="570"/>
      <c r="BY68" s="570"/>
      <c r="BZ68" s="570"/>
      <c r="CA68" s="570"/>
      <c r="CB68" s="570"/>
      <c r="CC68" s="570"/>
      <c r="CD68" s="570"/>
      <c r="CE68" s="570"/>
      <c r="CF68" s="570"/>
      <c r="CG68" s="570"/>
      <c r="CH68" s="570"/>
      <c r="CI68" s="570"/>
      <c r="CJ68" s="570"/>
      <c r="CK68" s="570"/>
      <c r="CL68" s="570"/>
      <c r="CM68" s="570"/>
      <c r="CN68" s="570"/>
      <c r="CO68" s="570"/>
      <c r="CP68" s="570"/>
      <c r="CQ68" s="570"/>
      <c r="CR68" s="570"/>
      <c r="CS68" s="570"/>
      <c r="CT68" s="570"/>
      <c r="CU68" s="570"/>
      <c r="CV68" s="570"/>
      <c r="CW68" s="570"/>
      <c r="CX68" s="570"/>
      <c r="CY68" s="570"/>
      <c r="CZ68" s="570"/>
      <c r="DA68" s="570"/>
      <c r="DB68" s="570"/>
      <c r="DC68" s="570"/>
      <c r="DD68" s="570"/>
      <c r="DE68" s="570"/>
      <c r="DF68" s="570"/>
      <c r="DG68" s="570"/>
      <c r="DH68" s="570"/>
      <c r="DI68" s="570"/>
      <c r="DJ68" s="570"/>
    </row>
    <row r="69" spans="1:114" s="568" customFormat="1" ht="18" customHeight="1" thickBot="1">
      <c r="A69" s="571"/>
      <c r="B69" s="267"/>
      <c r="C69" s="572"/>
      <c r="D69" s="583" t="s">
        <v>570</v>
      </c>
      <c r="F69" s="573"/>
      <c r="G69" s="573"/>
      <c r="H69" s="573"/>
      <c r="I69" s="574"/>
      <c r="M69" s="551" t="s">
        <v>14</v>
      </c>
      <c r="N69" s="523">
        <f>ROUNDDOWN(SUM(N63:N68),2)</f>
        <v>574.32000000000005</v>
      </c>
      <c r="O69" s="574" t="s">
        <v>501</v>
      </c>
      <c r="P69" s="569"/>
      <c r="Q69" s="570"/>
      <c r="R69" s="570"/>
      <c r="S69" s="570"/>
      <c r="T69" s="570"/>
      <c r="U69" s="570"/>
      <c r="V69" s="570"/>
      <c r="W69" s="570"/>
      <c r="X69" s="570"/>
      <c r="Y69" s="570"/>
      <c r="BB69" s="570"/>
      <c r="BC69" s="570"/>
      <c r="BD69" s="570"/>
      <c r="BE69" s="570"/>
      <c r="BF69" s="570"/>
      <c r="BG69" s="570"/>
      <c r="BH69" s="570"/>
      <c r="BI69" s="570"/>
      <c r="BJ69" s="570"/>
      <c r="BK69" s="570"/>
      <c r="BL69" s="570"/>
      <c r="BM69" s="570"/>
      <c r="BN69" s="570"/>
      <c r="BO69" s="570"/>
      <c r="BP69" s="570"/>
      <c r="BQ69" s="570"/>
      <c r="BR69" s="570"/>
      <c r="BS69" s="570"/>
      <c r="BT69" s="570"/>
      <c r="BU69" s="570"/>
      <c r="BV69" s="570"/>
      <c r="BW69" s="570"/>
      <c r="BX69" s="570"/>
      <c r="BY69" s="570"/>
      <c r="BZ69" s="570"/>
      <c r="CA69" s="570"/>
      <c r="CB69" s="570"/>
      <c r="CC69" s="570"/>
      <c r="CD69" s="570"/>
      <c r="CE69" s="570"/>
      <c r="CF69" s="570"/>
      <c r="CG69" s="570"/>
      <c r="CH69" s="570"/>
      <c r="CI69" s="570"/>
      <c r="CJ69" s="570"/>
      <c r="CK69" s="570"/>
      <c r="CL69" s="570"/>
      <c r="CM69" s="570"/>
      <c r="CN69" s="570"/>
      <c r="CO69" s="570"/>
      <c r="CP69" s="570"/>
      <c r="CQ69" s="570"/>
      <c r="CR69" s="570"/>
      <c r="CS69" s="570"/>
      <c r="CT69" s="570"/>
      <c r="CU69" s="570"/>
      <c r="CV69" s="570"/>
      <c r="CW69" s="570"/>
      <c r="CX69" s="570"/>
      <c r="CY69" s="570"/>
      <c r="CZ69" s="570"/>
      <c r="DA69" s="570"/>
      <c r="DB69" s="570"/>
      <c r="DC69" s="570"/>
      <c r="DD69" s="570"/>
      <c r="DE69" s="570"/>
      <c r="DF69" s="570"/>
      <c r="DG69" s="570"/>
      <c r="DH69" s="570"/>
      <c r="DI69" s="570"/>
      <c r="DJ69" s="570"/>
    </row>
    <row r="70" spans="1:114" s="568" customFormat="1" ht="18" customHeight="1" thickTop="1" thickBot="1">
      <c r="A70" s="571"/>
      <c r="B70" s="267"/>
      <c r="C70" s="572"/>
      <c r="D70" s="583" t="s">
        <v>657</v>
      </c>
      <c r="F70" s="573"/>
      <c r="G70" s="573"/>
      <c r="H70" s="573"/>
      <c r="I70" s="574"/>
      <c r="M70" s="551" t="s">
        <v>14</v>
      </c>
      <c r="N70" s="523">
        <f>ROUNDDOWN(N69/H62,2)</f>
        <v>246.48</v>
      </c>
      <c r="O70" s="574" t="s">
        <v>114</v>
      </c>
      <c r="P70" s="569"/>
      <c r="Q70" s="570"/>
      <c r="R70" s="570"/>
      <c r="S70" s="570"/>
      <c r="T70" s="570"/>
      <c r="U70" s="570"/>
      <c r="V70" s="570"/>
      <c r="W70" s="570"/>
      <c r="X70" s="570"/>
      <c r="Y70" s="570"/>
      <c r="BB70" s="570"/>
      <c r="BC70" s="570"/>
      <c r="BD70" s="570"/>
      <c r="BE70" s="570"/>
      <c r="BF70" s="570"/>
      <c r="BG70" s="570"/>
      <c r="BH70" s="570"/>
      <c r="BI70" s="570"/>
      <c r="BJ70" s="570"/>
      <c r="BK70" s="570"/>
      <c r="BL70" s="570"/>
      <c r="BM70" s="570"/>
      <c r="BN70" s="570"/>
      <c r="BO70" s="570"/>
      <c r="BP70" s="570"/>
      <c r="BQ70" s="570"/>
      <c r="BR70" s="570"/>
      <c r="BS70" s="570"/>
      <c r="BT70" s="570"/>
      <c r="BU70" s="570"/>
      <c r="BV70" s="570"/>
      <c r="BW70" s="570"/>
      <c r="BX70" s="570"/>
      <c r="BY70" s="570"/>
      <c r="BZ70" s="570"/>
      <c r="CA70" s="570"/>
      <c r="CB70" s="570"/>
      <c r="CC70" s="570"/>
      <c r="CD70" s="570"/>
      <c r="CE70" s="570"/>
      <c r="CF70" s="570"/>
      <c r="CG70" s="570"/>
      <c r="CH70" s="570"/>
      <c r="CI70" s="570"/>
      <c r="CJ70" s="570"/>
      <c r="CK70" s="570"/>
      <c r="CL70" s="570"/>
      <c r="CM70" s="570"/>
      <c r="CN70" s="570"/>
      <c r="CO70" s="570"/>
      <c r="CP70" s="570"/>
      <c r="CQ70" s="570"/>
      <c r="CR70" s="570"/>
      <c r="CS70" s="570"/>
      <c r="CT70" s="570"/>
      <c r="CU70" s="570"/>
      <c r="CV70" s="570"/>
      <c r="CW70" s="570"/>
      <c r="CX70" s="570"/>
      <c r="CY70" s="570"/>
      <c r="CZ70" s="570"/>
      <c r="DA70" s="570"/>
      <c r="DB70" s="570"/>
      <c r="DC70" s="570"/>
      <c r="DD70" s="570"/>
      <c r="DE70" s="570"/>
      <c r="DF70" s="570"/>
      <c r="DG70" s="570"/>
      <c r="DH70" s="570"/>
      <c r="DI70" s="570"/>
      <c r="DJ70" s="570"/>
    </row>
    <row r="71" spans="1:114" s="352" customFormat="1" ht="18" customHeight="1" thickTop="1">
      <c r="B71" s="507" t="s">
        <v>1755</v>
      </c>
      <c r="D71" s="579" t="s">
        <v>22</v>
      </c>
      <c r="F71" s="593">
        <f>F65</f>
        <v>5.98</v>
      </c>
      <c r="G71" s="584" t="s">
        <v>264</v>
      </c>
      <c r="H71" s="585">
        <f>+แหล่งวัสดุ!V32/1000</f>
        <v>4.0999999999999996</v>
      </c>
      <c r="I71" s="352" t="s">
        <v>43</v>
      </c>
      <c r="M71" s="575" t="s">
        <v>14</v>
      </c>
      <c r="N71" s="2354">
        <f>F71*H71</f>
        <v>24.518000000000001</v>
      </c>
      <c r="O71" s="574" t="s">
        <v>43</v>
      </c>
      <c r="P71" s="377"/>
    </row>
    <row r="72" spans="1:114" s="352" customFormat="1" ht="18" customHeight="1">
      <c r="B72" s="267" t="s">
        <v>1719</v>
      </c>
      <c r="D72" s="579" t="s">
        <v>22</v>
      </c>
      <c r="F72" s="579">
        <f>F67</f>
        <v>0.16</v>
      </c>
      <c r="G72" s="584" t="s">
        <v>266</v>
      </c>
      <c r="H72" s="585">
        <f>แหล่งวัสดุ!V26</f>
        <v>133</v>
      </c>
      <c r="I72" s="352" t="s">
        <v>43</v>
      </c>
      <c r="M72" s="551" t="s">
        <v>14</v>
      </c>
      <c r="N72" s="2354">
        <f>F72*H72</f>
        <v>21.28</v>
      </c>
      <c r="O72" s="574" t="s">
        <v>43</v>
      </c>
      <c r="P72" s="377"/>
    </row>
    <row r="73" spans="1:114" s="568" customFormat="1" ht="18" customHeight="1" thickBot="1">
      <c r="A73" s="571"/>
      <c r="B73" s="267"/>
      <c r="C73" s="572"/>
      <c r="D73" s="583" t="s">
        <v>571</v>
      </c>
      <c r="F73" s="573"/>
      <c r="G73" s="573"/>
      <c r="H73" s="573"/>
      <c r="I73" s="574"/>
      <c r="M73" s="551" t="s">
        <v>14</v>
      </c>
      <c r="N73" s="523">
        <f>ROUNDDOWN(SUM(N71:N72),2)</f>
        <v>45.79</v>
      </c>
      <c r="O73" s="574" t="s">
        <v>501</v>
      </c>
      <c r="P73" s="569"/>
      <c r="Q73" s="570"/>
      <c r="R73" s="570"/>
      <c r="S73" s="570"/>
      <c r="T73" s="570"/>
      <c r="U73" s="570"/>
      <c r="V73" s="570"/>
      <c r="W73" s="570"/>
      <c r="X73" s="570"/>
      <c r="Y73" s="570"/>
      <c r="BB73" s="570"/>
      <c r="BC73" s="570"/>
      <c r="BD73" s="570"/>
      <c r="BE73" s="570"/>
      <c r="BF73" s="570"/>
      <c r="BG73" s="570"/>
      <c r="BH73" s="570"/>
      <c r="BI73" s="570"/>
      <c r="BJ73" s="570"/>
      <c r="BK73" s="570"/>
      <c r="BL73" s="570"/>
      <c r="BM73" s="570"/>
      <c r="BN73" s="570"/>
      <c r="BO73" s="570"/>
      <c r="BP73" s="570"/>
      <c r="BQ73" s="570"/>
      <c r="BR73" s="570"/>
      <c r="BS73" s="570"/>
      <c r="BT73" s="570"/>
      <c r="BU73" s="570"/>
      <c r="BV73" s="570"/>
      <c r="BW73" s="570"/>
      <c r="BX73" s="570"/>
      <c r="BY73" s="570"/>
      <c r="BZ73" s="570"/>
      <c r="CA73" s="570"/>
      <c r="CB73" s="570"/>
      <c r="CC73" s="570"/>
      <c r="CD73" s="570"/>
      <c r="CE73" s="570"/>
      <c r="CF73" s="570"/>
      <c r="CG73" s="570"/>
      <c r="CH73" s="570"/>
      <c r="CI73" s="570"/>
      <c r="CJ73" s="570"/>
      <c r="CK73" s="570"/>
      <c r="CL73" s="570"/>
      <c r="CM73" s="570"/>
      <c r="CN73" s="570"/>
      <c r="CO73" s="570"/>
      <c r="CP73" s="570"/>
      <c r="CQ73" s="570"/>
      <c r="CR73" s="570"/>
      <c r="CS73" s="570"/>
      <c r="CT73" s="570"/>
      <c r="CU73" s="570"/>
      <c r="CV73" s="570"/>
      <c r="CW73" s="570"/>
      <c r="CX73" s="570"/>
      <c r="CY73" s="570"/>
      <c r="CZ73" s="570"/>
      <c r="DA73" s="570"/>
      <c r="DB73" s="570"/>
      <c r="DC73" s="570"/>
      <c r="DD73" s="570"/>
      <c r="DE73" s="570"/>
      <c r="DF73" s="570"/>
      <c r="DG73" s="570"/>
      <c r="DH73" s="570"/>
      <c r="DI73" s="570"/>
      <c r="DJ73" s="570"/>
    </row>
    <row r="74" spans="1:114" s="568" customFormat="1" ht="18" customHeight="1" thickTop="1" thickBot="1">
      <c r="A74" s="571"/>
      <c r="B74" s="267"/>
      <c r="C74" s="572"/>
      <c r="D74" s="583" t="s">
        <v>658</v>
      </c>
      <c r="F74" s="573"/>
      <c r="G74" s="573"/>
      <c r="H74" s="573"/>
      <c r="I74" s="574"/>
      <c r="M74" s="551" t="s">
        <v>14</v>
      </c>
      <c r="N74" s="523">
        <f>ROUNDDOWN(N73/H62,2)</f>
        <v>19.649999999999999</v>
      </c>
      <c r="O74" s="574" t="s">
        <v>501</v>
      </c>
      <c r="P74" s="569"/>
      <c r="Q74" s="570"/>
      <c r="R74" s="570"/>
      <c r="S74" s="570"/>
      <c r="T74" s="570"/>
      <c r="U74" s="570"/>
      <c r="V74" s="570"/>
      <c r="W74" s="570"/>
      <c r="X74" s="570"/>
      <c r="Y74" s="570"/>
      <c r="BB74" s="570"/>
      <c r="BC74" s="570"/>
      <c r="BD74" s="570"/>
      <c r="BE74" s="570"/>
      <c r="BF74" s="570"/>
      <c r="BG74" s="570"/>
      <c r="BH74" s="570"/>
      <c r="BI74" s="570"/>
      <c r="BJ74" s="570"/>
      <c r="BK74" s="570"/>
      <c r="BL74" s="570"/>
      <c r="BM74" s="570"/>
      <c r="BN74" s="570"/>
      <c r="BO74" s="570"/>
      <c r="BP74" s="570"/>
      <c r="BQ74" s="570"/>
      <c r="BR74" s="570"/>
      <c r="BS74" s="570"/>
      <c r="BT74" s="570"/>
      <c r="BU74" s="570"/>
      <c r="BV74" s="570"/>
      <c r="BW74" s="570"/>
      <c r="BX74" s="570"/>
      <c r="BY74" s="570"/>
      <c r="BZ74" s="570"/>
      <c r="CA74" s="570"/>
      <c r="CB74" s="570"/>
      <c r="CC74" s="570"/>
      <c r="CD74" s="570"/>
      <c r="CE74" s="570"/>
      <c r="CF74" s="570"/>
      <c r="CG74" s="570"/>
      <c r="CH74" s="570"/>
      <c r="CI74" s="570"/>
      <c r="CJ74" s="570"/>
      <c r="CK74" s="570"/>
      <c r="CL74" s="570"/>
      <c r="CM74" s="570"/>
      <c r="CN74" s="570"/>
      <c r="CO74" s="570"/>
      <c r="CP74" s="570"/>
      <c r="CQ74" s="570"/>
      <c r="CR74" s="570"/>
      <c r="CS74" s="570"/>
      <c r="CT74" s="570"/>
      <c r="CU74" s="570"/>
      <c r="CV74" s="570"/>
      <c r="CW74" s="570"/>
      <c r="CX74" s="570"/>
      <c r="CY74" s="570"/>
      <c r="CZ74" s="570"/>
      <c r="DA74" s="570"/>
      <c r="DB74" s="570"/>
      <c r="DC74" s="570"/>
      <c r="DD74" s="570"/>
      <c r="DE74" s="570"/>
      <c r="DF74" s="570"/>
      <c r="DG74" s="570"/>
      <c r="DH74" s="570"/>
      <c r="DI74" s="570"/>
      <c r="DJ74" s="570"/>
    </row>
    <row r="75" spans="1:114" s="352" customFormat="1" ht="18" customHeight="1" thickTop="1" thickBot="1">
      <c r="B75" s="559" t="s">
        <v>2136</v>
      </c>
      <c r="C75" s="586"/>
      <c r="F75" s="2747">
        <f>ROUNDUP(Slope_Protection!E11,0)</f>
        <v>6310</v>
      </c>
      <c r="G75" s="2747"/>
      <c r="H75" s="587" t="s">
        <v>260</v>
      </c>
      <c r="I75" s="588"/>
      <c r="J75" s="589"/>
      <c r="M75" s="590"/>
      <c r="N75" s="591"/>
      <c r="O75" s="590"/>
      <c r="P75" s="377"/>
    </row>
    <row r="76" spans="1:114" s="352" customFormat="1" ht="18" customHeight="1" thickTop="1">
      <c r="B76" s="267" t="s">
        <v>261</v>
      </c>
      <c r="D76" s="579" t="s">
        <v>22</v>
      </c>
      <c r="F76" s="592">
        <f>ROUNDDOWN(Slope_Protection!F21,)</f>
        <v>909</v>
      </c>
      <c r="G76" s="580" t="s">
        <v>262</v>
      </c>
      <c r="H76" s="585">
        <f>+N52</f>
        <v>2372.0300000000002</v>
      </c>
      <c r="I76" s="352" t="s">
        <v>43</v>
      </c>
      <c r="M76" s="551" t="s">
        <v>14</v>
      </c>
      <c r="N76" s="2384">
        <f t="shared" ref="N76:N82" si="4">F76*H76</f>
        <v>2156175.27</v>
      </c>
      <c r="O76" s="574" t="s">
        <v>43</v>
      </c>
      <c r="P76" s="377"/>
    </row>
    <row r="77" spans="1:114" s="352" customFormat="1" ht="18" customHeight="1">
      <c r="B77" s="267" t="s">
        <v>263</v>
      </c>
      <c r="D77" s="579" t="s">
        <v>22</v>
      </c>
      <c r="F77" s="593">
        <f>ROUNDDOWN(Slope_Protection!F20,)</f>
        <v>35054</v>
      </c>
      <c r="G77" s="554" t="s">
        <v>264</v>
      </c>
      <c r="H77" s="585">
        <f>((H17+N17)*แหล่งวัสดุ!$U$69)/1000</f>
        <v>19.310789999999997</v>
      </c>
      <c r="I77" s="352" t="s">
        <v>43</v>
      </c>
      <c r="M77" s="551" t="s">
        <v>14</v>
      </c>
      <c r="N77" s="2385">
        <f t="shared" si="4"/>
        <v>676920.43265999993</v>
      </c>
      <c r="O77" s="550" t="s">
        <v>43</v>
      </c>
      <c r="P77" s="377"/>
    </row>
    <row r="78" spans="1:114" s="352" customFormat="1" ht="18" customHeight="1">
      <c r="B78" s="267" t="s">
        <v>265</v>
      </c>
      <c r="D78" s="579" t="s">
        <v>22</v>
      </c>
      <c r="F78" s="593">
        <f>ROUNDDOWN(Slope_Protection!F23,)</f>
        <v>876</v>
      </c>
      <c r="G78" s="554" t="s">
        <v>264</v>
      </c>
      <c r="H78" s="585">
        <f>+H66</f>
        <v>46.73</v>
      </c>
      <c r="I78" s="352" t="s">
        <v>43</v>
      </c>
      <c r="M78" s="551" t="s">
        <v>14</v>
      </c>
      <c r="N78" s="2385">
        <f t="shared" si="4"/>
        <v>40935.479999999996</v>
      </c>
      <c r="O78" s="550" t="s">
        <v>43</v>
      </c>
      <c r="P78" s="377"/>
    </row>
    <row r="79" spans="1:114" s="352" customFormat="1" ht="18" customHeight="1">
      <c r="B79" s="555" t="s">
        <v>283</v>
      </c>
      <c r="D79" s="579" t="s">
        <v>22</v>
      </c>
      <c r="F79" s="593">
        <f>ROUNDDOWN(Slope_Protection!F22,)</f>
        <v>1000</v>
      </c>
      <c r="G79" s="554" t="s">
        <v>266</v>
      </c>
      <c r="H79" s="585">
        <f>N60</f>
        <v>351.3</v>
      </c>
      <c r="I79" s="352" t="s">
        <v>43</v>
      </c>
      <c r="M79" s="551" t="s">
        <v>14</v>
      </c>
      <c r="N79" s="2385">
        <f t="shared" si="4"/>
        <v>351300</v>
      </c>
      <c r="O79" s="550" t="s">
        <v>43</v>
      </c>
      <c r="P79" s="377"/>
    </row>
    <row r="80" spans="1:114" s="352" customFormat="1" ht="18" customHeight="1">
      <c r="B80" s="267" t="s">
        <v>267</v>
      </c>
      <c r="D80" s="579" t="s">
        <v>22</v>
      </c>
      <c r="F80" s="593">
        <f>ROUNDDOWN(Slope_Protection!F24,)</f>
        <v>250</v>
      </c>
      <c r="G80" s="554" t="s">
        <v>264</v>
      </c>
      <c r="H80" s="585">
        <f>+H68</f>
        <v>39.49</v>
      </c>
      <c r="I80" s="352" t="s">
        <v>43</v>
      </c>
      <c r="M80" s="551" t="s">
        <v>14</v>
      </c>
      <c r="N80" s="2385">
        <f t="shared" si="4"/>
        <v>9872.5</v>
      </c>
      <c r="O80" s="550" t="s">
        <v>43</v>
      </c>
      <c r="P80" s="377"/>
    </row>
    <row r="81" spans="2:17" s="352" customFormat="1" ht="18" customHeight="1">
      <c r="B81" s="555" t="s">
        <v>268</v>
      </c>
      <c r="D81" s="579" t="s">
        <v>22</v>
      </c>
      <c r="F81" s="593">
        <f>Slope_Protection!F25</f>
        <v>1052</v>
      </c>
      <c r="G81" s="554" t="s">
        <v>269</v>
      </c>
      <c r="H81" s="594">
        <v>4</v>
      </c>
      <c r="I81" s="352" t="s">
        <v>43</v>
      </c>
      <c r="M81" s="551" t="s">
        <v>14</v>
      </c>
      <c r="N81" s="2354">
        <f t="shared" si="4"/>
        <v>4208</v>
      </c>
      <c r="O81" s="550" t="s">
        <v>43</v>
      </c>
      <c r="P81" s="377"/>
    </row>
    <row r="82" spans="2:17" s="352" customFormat="1" ht="18" customHeight="1">
      <c r="B82" s="555" t="s">
        <v>270</v>
      </c>
      <c r="D82" s="579" t="s">
        <v>22</v>
      </c>
      <c r="F82" s="593">
        <f>Slope_Protection!F26</f>
        <v>71.010000000000005</v>
      </c>
      <c r="G82" s="580" t="s">
        <v>262</v>
      </c>
      <c r="H82" s="595">
        <v>190</v>
      </c>
      <c r="I82" s="352" t="s">
        <v>43</v>
      </c>
      <c r="M82" s="551" t="s">
        <v>14</v>
      </c>
      <c r="N82" s="2354">
        <f t="shared" si="4"/>
        <v>13491.900000000001</v>
      </c>
      <c r="O82" s="550" t="s">
        <v>43</v>
      </c>
      <c r="P82" s="377"/>
    </row>
    <row r="83" spans="2:17" s="352" customFormat="1" ht="18" customHeight="1">
      <c r="B83" s="2745" t="s">
        <v>292</v>
      </c>
      <c r="C83" s="2745"/>
      <c r="D83" s="2745"/>
      <c r="E83" s="2745"/>
      <c r="M83" s="551" t="s">
        <v>14</v>
      </c>
      <c r="N83" s="2354">
        <f>SUM(N76:N82)</f>
        <v>3252903.5826599998</v>
      </c>
      <c r="O83" s="550" t="s">
        <v>43</v>
      </c>
      <c r="P83" s="377"/>
    </row>
    <row r="84" spans="2:17" s="352" customFormat="1" ht="18" customHeight="1" thickBot="1">
      <c r="C84" s="550"/>
      <c r="D84" s="556" t="s">
        <v>271</v>
      </c>
      <c r="M84" s="575" t="s">
        <v>14</v>
      </c>
      <c r="N84" s="523">
        <f>ROUNDDOWN(N83/F75,2)</f>
        <v>515.51</v>
      </c>
      <c r="O84" s="550" t="s">
        <v>43</v>
      </c>
      <c r="P84" s="377"/>
    </row>
    <row r="85" spans="2:17" s="352" customFormat="1" ht="18" customHeight="1" thickTop="1">
      <c r="B85" s="507" t="s">
        <v>1755</v>
      </c>
      <c r="D85" s="579" t="s">
        <v>22</v>
      </c>
      <c r="F85" s="593">
        <f>F77</f>
        <v>35054</v>
      </c>
      <c r="G85" s="584" t="s">
        <v>264</v>
      </c>
      <c r="H85" s="1444">
        <f>+H71</f>
        <v>4.0999999999999996</v>
      </c>
      <c r="I85" s="352" t="s">
        <v>43</v>
      </c>
      <c r="M85" s="575" t="s">
        <v>14</v>
      </c>
      <c r="N85" s="2354">
        <f>F85*H85</f>
        <v>143721.4</v>
      </c>
      <c r="O85" s="574" t="s">
        <v>43</v>
      </c>
      <c r="P85" s="377"/>
    </row>
    <row r="86" spans="2:17" s="352" customFormat="1" ht="18" customHeight="1">
      <c r="B86" s="267" t="s">
        <v>1719</v>
      </c>
      <c r="D86" s="579" t="s">
        <v>22</v>
      </c>
      <c r="F86" s="579">
        <f>F79</f>
        <v>1000</v>
      </c>
      <c r="G86" s="584" t="s">
        <v>266</v>
      </c>
      <c r="H86" s="585">
        <f>H72</f>
        <v>133</v>
      </c>
      <c r="I86" s="352" t="s">
        <v>43</v>
      </c>
      <c r="M86" s="551" t="s">
        <v>14</v>
      </c>
      <c r="N86" s="2354">
        <f>F86*H86</f>
        <v>133000</v>
      </c>
      <c r="O86" s="574" t="s">
        <v>43</v>
      </c>
      <c r="P86" s="377"/>
    </row>
    <row r="87" spans="2:17" s="352" customFormat="1" ht="18" customHeight="1">
      <c r="B87" s="2745" t="s">
        <v>28</v>
      </c>
      <c r="C87" s="2745"/>
      <c r="D87" s="2745"/>
      <c r="E87" s="2745"/>
      <c r="M87" s="551" t="s">
        <v>14</v>
      </c>
      <c r="N87" s="2354">
        <f>SUM(N85:N86)</f>
        <v>276721.40000000002</v>
      </c>
      <c r="O87" s="550" t="s">
        <v>43</v>
      </c>
      <c r="P87" s="377"/>
    </row>
    <row r="88" spans="2:17" s="352" customFormat="1" ht="18" customHeight="1" thickBot="1">
      <c r="C88" s="550"/>
      <c r="D88" s="556" t="s">
        <v>273</v>
      </c>
      <c r="M88" s="551" t="s">
        <v>14</v>
      </c>
      <c r="N88" s="523">
        <f>ROUNDDOWN(N87/F75,2)</f>
        <v>43.85</v>
      </c>
      <c r="O88" s="550" t="s">
        <v>43</v>
      </c>
      <c r="P88" s="377"/>
    </row>
    <row r="89" spans="2:17" s="352" customFormat="1" ht="18" customHeight="1" thickTop="1">
      <c r="B89" s="559" t="s">
        <v>2137</v>
      </c>
      <c r="C89" s="550"/>
      <c r="D89" s="556"/>
      <c r="M89" s="551"/>
      <c r="N89" s="596"/>
      <c r="O89" s="550"/>
      <c r="P89" s="377"/>
    </row>
    <row r="90" spans="2:17" s="352" customFormat="1" ht="18" customHeight="1">
      <c r="C90" s="550"/>
      <c r="D90" s="597" t="s">
        <v>568</v>
      </c>
      <c r="E90" s="598"/>
      <c r="P90" s="377"/>
    </row>
    <row r="91" spans="2:17" s="352" customFormat="1" ht="18" customHeight="1">
      <c r="C91" s="550"/>
      <c r="D91" s="598" t="s">
        <v>463</v>
      </c>
      <c r="E91" s="598"/>
      <c r="G91" s="599" t="s">
        <v>22</v>
      </c>
      <c r="H91" s="1280">
        <v>7.4999999999999997E-2</v>
      </c>
      <c r="I91" s="600" t="s">
        <v>262</v>
      </c>
      <c r="K91" s="601">
        <f>+H76</f>
        <v>2372.0300000000002</v>
      </c>
      <c r="L91" s="352" t="s">
        <v>43</v>
      </c>
      <c r="M91" s="575" t="s">
        <v>14</v>
      </c>
      <c r="N91" s="2354">
        <f t="shared" ref="N91:N96" si="5">+H91*K91</f>
        <v>177.90225000000001</v>
      </c>
      <c r="O91" s="574" t="s">
        <v>43</v>
      </c>
      <c r="P91" s="377"/>
      <c r="Q91" s="2013"/>
    </row>
    <row r="92" spans="2:17" s="352" customFormat="1" ht="18" customHeight="1">
      <c r="C92" s="550"/>
      <c r="D92" s="598" t="s">
        <v>464</v>
      </c>
      <c r="E92" s="598"/>
      <c r="G92" s="599" t="s">
        <v>22</v>
      </c>
      <c r="H92" s="1280">
        <f>1.2*0.25</f>
        <v>0.3</v>
      </c>
      <c r="I92" s="600" t="s">
        <v>500</v>
      </c>
      <c r="K92" s="601">
        <f>+H79</f>
        <v>351.3</v>
      </c>
      <c r="L92" s="352" t="s">
        <v>43</v>
      </c>
      <c r="M92" s="575" t="s">
        <v>14</v>
      </c>
      <c r="N92" s="2354">
        <f t="shared" si="5"/>
        <v>105.39</v>
      </c>
      <c r="O92" s="574" t="s">
        <v>43</v>
      </c>
      <c r="P92" s="377"/>
    </row>
    <row r="93" spans="2:17" s="352" customFormat="1" ht="18" customHeight="1">
      <c r="C93" s="550"/>
      <c r="D93" s="598" t="s">
        <v>267</v>
      </c>
      <c r="E93" s="602"/>
      <c r="G93" s="599" t="s">
        <v>22</v>
      </c>
      <c r="H93" s="1280">
        <f>H92*0.3</f>
        <v>0.09</v>
      </c>
      <c r="I93" s="573" t="s">
        <v>264</v>
      </c>
      <c r="K93" s="601">
        <f>+H80</f>
        <v>39.49</v>
      </c>
      <c r="L93" s="352" t="s">
        <v>43</v>
      </c>
      <c r="M93" s="551" t="s">
        <v>14</v>
      </c>
      <c r="N93" s="2354">
        <f t="shared" si="5"/>
        <v>3.5541</v>
      </c>
      <c r="O93" s="574" t="s">
        <v>43</v>
      </c>
      <c r="P93" s="377"/>
    </row>
    <row r="94" spans="2:17" s="352" customFormat="1" ht="18" customHeight="1">
      <c r="C94" s="550"/>
      <c r="D94" s="602" t="s">
        <v>461</v>
      </c>
      <c r="E94" s="602"/>
      <c r="G94" s="599" t="s">
        <v>22</v>
      </c>
      <c r="H94" s="1281">
        <v>2.9940000000000002</v>
      </c>
      <c r="I94" s="573" t="s">
        <v>264</v>
      </c>
      <c r="K94" s="601">
        <f>+H77</f>
        <v>19.310789999999997</v>
      </c>
      <c r="L94" s="352" t="s">
        <v>43</v>
      </c>
      <c r="M94" s="551" t="s">
        <v>14</v>
      </c>
      <c r="N94" s="2354">
        <f t="shared" si="5"/>
        <v>57.816505259999992</v>
      </c>
      <c r="O94" s="574" t="s">
        <v>43</v>
      </c>
      <c r="P94" s="377"/>
    </row>
    <row r="95" spans="2:17" s="352" customFormat="1" ht="18" customHeight="1">
      <c r="C95" s="550"/>
      <c r="D95" s="602" t="s">
        <v>462</v>
      </c>
      <c r="E95" s="598"/>
      <c r="G95" s="599" t="s">
        <v>22</v>
      </c>
      <c r="H95" s="1281">
        <v>0.65</v>
      </c>
      <c r="I95" s="573" t="s">
        <v>264</v>
      </c>
      <c r="K95" s="352">
        <f>+H65</f>
        <v>19.989999999999998</v>
      </c>
      <c r="L95" s="352" t="s">
        <v>43</v>
      </c>
      <c r="M95" s="551" t="s">
        <v>14</v>
      </c>
      <c r="N95" s="2354">
        <f t="shared" si="5"/>
        <v>12.993499999999999</v>
      </c>
      <c r="O95" s="574" t="s">
        <v>43</v>
      </c>
      <c r="P95" s="377"/>
    </row>
    <row r="96" spans="2:17" s="352" customFormat="1" ht="18" customHeight="1">
      <c r="C96" s="550"/>
      <c r="D96" s="602" t="s">
        <v>265</v>
      </c>
      <c r="E96" s="598"/>
      <c r="G96" s="599" t="s">
        <v>22</v>
      </c>
      <c r="H96" s="1280">
        <f>ROUND(SUM(H94:H95)*0.025,2)</f>
        <v>0.09</v>
      </c>
      <c r="I96" s="573" t="s">
        <v>264</v>
      </c>
      <c r="K96" s="601">
        <f>+H78</f>
        <v>46.73</v>
      </c>
      <c r="L96" s="352" t="s">
        <v>43</v>
      </c>
      <c r="M96" s="551" t="s">
        <v>14</v>
      </c>
      <c r="N96" s="2354">
        <f t="shared" si="5"/>
        <v>4.2056999999999993</v>
      </c>
      <c r="O96" s="574" t="s">
        <v>43</v>
      </c>
      <c r="P96" s="377"/>
    </row>
    <row r="97" spans="2:16" s="352" customFormat="1" ht="18" customHeight="1" thickBot="1">
      <c r="B97" s="2744"/>
      <c r="C97" s="2744"/>
      <c r="D97" s="2744"/>
      <c r="E97" s="2744"/>
      <c r="G97" s="583" t="s">
        <v>1605</v>
      </c>
      <c r="M97" s="551" t="s">
        <v>14</v>
      </c>
      <c r="N97" s="1282">
        <f>ROUNDDOWN(SUM(N91:N96),2)</f>
        <v>361.86</v>
      </c>
      <c r="O97" s="550" t="s">
        <v>43</v>
      </c>
      <c r="P97" s="377"/>
    </row>
    <row r="98" spans="2:16" s="352" customFormat="1" ht="18" customHeight="1" thickTop="1">
      <c r="B98" s="507" t="s">
        <v>1755</v>
      </c>
      <c r="D98" s="579" t="s">
        <v>22</v>
      </c>
      <c r="E98" s="603"/>
      <c r="F98" s="606">
        <f>+H95+H94</f>
        <v>3.6440000000000001</v>
      </c>
      <c r="G98" s="584" t="s">
        <v>264</v>
      </c>
      <c r="H98" s="1469">
        <f>H85</f>
        <v>4.0999999999999996</v>
      </c>
      <c r="I98" s="352" t="s">
        <v>43</v>
      </c>
      <c r="M98" s="551" t="s">
        <v>14</v>
      </c>
      <c r="N98" s="2354">
        <f>F98*H98</f>
        <v>14.940399999999999</v>
      </c>
      <c r="O98" s="550" t="s">
        <v>43</v>
      </c>
      <c r="P98" s="377"/>
    </row>
    <row r="99" spans="2:16" s="352" customFormat="1" ht="18" customHeight="1">
      <c r="B99" s="267" t="s">
        <v>1719</v>
      </c>
      <c r="D99" s="579" t="s">
        <v>22</v>
      </c>
      <c r="E99" s="603"/>
      <c r="F99" s="606">
        <f>H92</f>
        <v>0.3</v>
      </c>
      <c r="G99" s="584" t="s">
        <v>266</v>
      </c>
      <c r="H99" s="439">
        <f>H86</f>
        <v>133</v>
      </c>
      <c r="I99" s="352" t="s">
        <v>43</v>
      </c>
      <c r="M99" s="551" t="s">
        <v>14</v>
      </c>
      <c r="N99" s="2354">
        <f>F99*H99</f>
        <v>39.9</v>
      </c>
      <c r="O99" s="550" t="s">
        <v>43</v>
      </c>
      <c r="P99" s="377"/>
    </row>
    <row r="100" spans="2:16" s="352" customFormat="1" ht="18" customHeight="1" thickBot="1">
      <c r="B100" s="603"/>
      <c r="C100" s="603"/>
      <c r="D100" s="603"/>
      <c r="E100" s="603"/>
      <c r="G100" s="583" t="s">
        <v>1606</v>
      </c>
      <c r="M100" s="551" t="s">
        <v>14</v>
      </c>
      <c r="N100" s="1282">
        <f>ROUNDDOWN(SUM(N98:N99),2)</f>
        <v>54.84</v>
      </c>
      <c r="O100" s="550" t="s">
        <v>43</v>
      </c>
      <c r="P100" s="377"/>
    </row>
    <row r="101" spans="2:16" s="352" customFormat="1" ht="18" customHeight="1" thickTop="1">
      <c r="C101" s="550"/>
      <c r="D101" s="604" t="s">
        <v>569</v>
      </c>
      <c r="M101" s="551"/>
      <c r="N101" s="605"/>
      <c r="O101" s="550"/>
      <c r="P101" s="377"/>
    </row>
    <row r="102" spans="2:16" s="352" customFormat="1" ht="18" customHeight="1">
      <c r="C102" s="550"/>
      <c r="D102" s="598" t="s">
        <v>463</v>
      </c>
      <c r="E102" s="598"/>
      <c r="G102" s="599" t="s">
        <v>22</v>
      </c>
      <c r="H102" s="1280">
        <v>0.13700000000000001</v>
      </c>
      <c r="I102" s="598" t="s">
        <v>477</v>
      </c>
      <c r="K102" s="601">
        <f t="shared" ref="K102:K107" si="6">+K91</f>
        <v>2372.0300000000002</v>
      </c>
      <c r="M102" s="575" t="s">
        <v>14</v>
      </c>
      <c r="N102" s="2354">
        <f t="shared" ref="N102:N107" si="7">+H102*K102</f>
        <v>324.96811000000008</v>
      </c>
      <c r="O102" s="574" t="s">
        <v>43</v>
      </c>
      <c r="P102" s="377"/>
    </row>
    <row r="103" spans="2:16" s="352" customFormat="1" ht="18" customHeight="1">
      <c r="C103" s="550"/>
      <c r="D103" s="598" t="s">
        <v>464</v>
      </c>
      <c r="E103" s="598"/>
      <c r="G103" s="599" t="s">
        <v>22</v>
      </c>
      <c r="H103" s="1280">
        <f>0.8*0.25</f>
        <v>0.2</v>
      </c>
      <c r="I103" s="598" t="s">
        <v>266</v>
      </c>
      <c r="K103" s="601">
        <f t="shared" si="6"/>
        <v>351.3</v>
      </c>
      <c r="M103" s="575" t="s">
        <v>14</v>
      </c>
      <c r="N103" s="2354">
        <f t="shared" si="7"/>
        <v>70.260000000000005</v>
      </c>
      <c r="O103" s="574" t="s">
        <v>43</v>
      </c>
      <c r="P103" s="377"/>
    </row>
    <row r="104" spans="2:16" s="352" customFormat="1" ht="18" customHeight="1">
      <c r="C104" s="550"/>
      <c r="D104" s="598" t="s">
        <v>267</v>
      </c>
      <c r="E104" s="598"/>
      <c r="G104" s="599" t="s">
        <v>22</v>
      </c>
      <c r="H104" s="1280">
        <f>H103*0.3</f>
        <v>0.06</v>
      </c>
      <c r="I104" s="598" t="s">
        <v>549</v>
      </c>
      <c r="K104" s="601">
        <f t="shared" si="6"/>
        <v>39.49</v>
      </c>
      <c r="M104" s="551" t="s">
        <v>14</v>
      </c>
      <c r="N104" s="2354">
        <f t="shared" si="7"/>
        <v>2.3694000000000002</v>
      </c>
      <c r="O104" s="574" t="s">
        <v>43</v>
      </c>
      <c r="P104" s="377"/>
    </row>
    <row r="105" spans="2:16" s="352" customFormat="1" ht="18" customHeight="1">
      <c r="C105" s="550"/>
      <c r="D105" s="602" t="s">
        <v>461</v>
      </c>
      <c r="E105" s="602"/>
      <c r="G105" s="599" t="s">
        <v>22</v>
      </c>
      <c r="H105" s="1281">
        <f>8*0.499</f>
        <v>3.992</v>
      </c>
      <c r="I105" s="598" t="s">
        <v>549</v>
      </c>
      <c r="K105" s="601">
        <f t="shared" si="6"/>
        <v>19.310789999999997</v>
      </c>
      <c r="M105" s="551" t="s">
        <v>14</v>
      </c>
      <c r="N105" s="2354">
        <f t="shared" si="7"/>
        <v>77.088673679999985</v>
      </c>
      <c r="O105" s="574" t="s">
        <v>43</v>
      </c>
      <c r="P105" s="377"/>
    </row>
    <row r="106" spans="2:16" s="352" customFormat="1" ht="18" customHeight="1">
      <c r="C106" s="550"/>
      <c r="D106" s="602" t="s">
        <v>462</v>
      </c>
      <c r="E106" s="602"/>
      <c r="G106" s="599" t="s">
        <v>22</v>
      </c>
      <c r="H106" s="1281">
        <v>1.1000000000000001</v>
      </c>
      <c r="I106" s="598" t="s">
        <v>549</v>
      </c>
      <c r="K106" s="601">
        <f t="shared" si="6"/>
        <v>19.989999999999998</v>
      </c>
      <c r="M106" s="551" t="s">
        <v>14</v>
      </c>
      <c r="N106" s="2354">
        <f t="shared" si="7"/>
        <v>21.989000000000001</v>
      </c>
      <c r="O106" s="574" t="s">
        <v>43</v>
      </c>
      <c r="P106" s="377"/>
    </row>
    <row r="107" spans="2:16" s="352" customFormat="1" ht="18" customHeight="1">
      <c r="C107" s="550"/>
      <c r="D107" s="602" t="s">
        <v>265</v>
      </c>
      <c r="E107" s="598"/>
      <c r="G107" s="599" t="s">
        <v>22</v>
      </c>
      <c r="H107" s="1280">
        <f>ROUND(SUM(H105:H106)*0.025,2)</f>
        <v>0.13</v>
      </c>
      <c r="I107" s="598" t="s">
        <v>549</v>
      </c>
      <c r="K107" s="601">
        <f t="shared" si="6"/>
        <v>46.73</v>
      </c>
      <c r="M107" s="551" t="s">
        <v>14</v>
      </c>
      <c r="N107" s="2354">
        <f t="shared" si="7"/>
        <v>6.0748999999999995</v>
      </c>
      <c r="O107" s="574" t="s">
        <v>43</v>
      </c>
      <c r="P107" s="377"/>
    </row>
    <row r="108" spans="2:16" s="352" customFormat="1" ht="18" customHeight="1" thickBot="1">
      <c r="G108" s="583" t="s">
        <v>1610</v>
      </c>
      <c r="H108" s="557"/>
      <c r="I108" s="557"/>
      <c r="J108" s="557"/>
      <c r="M108" s="551" t="s">
        <v>14</v>
      </c>
      <c r="N108" s="1282">
        <f>ROUNDDOWN(SUM(N102:N107),2)</f>
        <v>502.75</v>
      </c>
      <c r="O108" s="550" t="s">
        <v>43</v>
      </c>
      <c r="P108" s="377"/>
    </row>
    <row r="109" spans="2:16" s="352" customFormat="1" ht="18" customHeight="1" thickTop="1">
      <c r="B109" s="507" t="s">
        <v>1755</v>
      </c>
      <c r="D109" s="579" t="s">
        <v>22</v>
      </c>
      <c r="E109" s="603"/>
      <c r="F109" s="606">
        <f>+H106+H105</f>
        <v>5.0920000000000005</v>
      </c>
      <c r="G109" s="584" t="s">
        <v>264</v>
      </c>
      <c r="H109" s="1444">
        <f>+IF(F109&gt;1000,แหล่งวัสดุ!$V$33/1000,แหล่งวัสดุ!$V$32/1000)</f>
        <v>4.0999999999999996</v>
      </c>
      <c r="I109" s="352" t="s">
        <v>43</v>
      </c>
      <c r="M109" s="551" t="s">
        <v>14</v>
      </c>
      <c r="N109" s="2354">
        <f>F109*H109</f>
        <v>20.877200000000002</v>
      </c>
      <c r="O109" s="550" t="s">
        <v>43</v>
      </c>
      <c r="P109" s="377"/>
    </row>
    <row r="110" spans="2:16" s="352" customFormat="1" ht="18" customHeight="1">
      <c r="B110" s="267" t="s">
        <v>1719</v>
      </c>
      <c r="D110" s="579" t="s">
        <v>22</v>
      </c>
      <c r="E110" s="603"/>
      <c r="F110" s="606">
        <f>H103</f>
        <v>0.2</v>
      </c>
      <c r="G110" s="584" t="s">
        <v>266</v>
      </c>
      <c r="H110" s="439">
        <f>H99</f>
        <v>133</v>
      </c>
      <c r="I110" s="352" t="s">
        <v>43</v>
      </c>
      <c r="M110" s="551" t="s">
        <v>14</v>
      </c>
      <c r="N110" s="2354">
        <f>F110*H110</f>
        <v>26.6</v>
      </c>
      <c r="O110" s="550" t="s">
        <v>43</v>
      </c>
      <c r="P110" s="377"/>
    </row>
    <row r="111" spans="2:16" s="352" customFormat="1" ht="18" customHeight="1" thickBot="1">
      <c r="B111" s="603"/>
      <c r="C111" s="603"/>
      <c r="D111" s="603"/>
      <c r="E111" s="603"/>
      <c r="G111" s="583" t="s">
        <v>1611</v>
      </c>
      <c r="M111" s="551" t="s">
        <v>14</v>
      </c>
      <c r="N111" s="1282">
        <f>ROUNDDOWN(SUM(N109:N110),2)</f>
        <v>47.47</v>
      </c>
      <c r="O111" s="550" t="s">
        <v>43</v>
      </c>
      <c r="P111" s="377"/>
    </row>
    <row r="112" spans="2:16" s="352" customFormat="1" ht="18" customHeight="1" thickTop="1">
      <c r="B112" s="559" t="s">
        <v>2138</v>
      </c>
      <c r="C112" s="603"/>
      <c r="D112" s="603"/>
      <c r="E112" s="603"/>
      <c r="M112" s="551"/>
      <c r="N112" s="447"/>
      <c r="O112" s="550"/>
      <c r="P112" s="377"/>
    </row>
    <row r="113" spans="2:16" s="352" customFormat="1" ht="18" customHeight="1">
      <c r="B113" s="598" t="s">
        <v>463</v>
      </c>
      <c r="C113" s="603"/>
      <c r="D113" s="599" t="s">
        <v>22</v>
      </c>
      <c r="E113" s="603"/>
      <c r="F113" s="405">
        <f>+ROUND(รางส่งน้ำขั้นบันได!E45,2)</f>
        <v>25.09</v>
      </c>
      <c r="G113" s="598" t="s">
        <v>477</v>
      </c>
      <c r="H113" s="601">
        <f>+$K$102</f>
        <v>2372.0300000000002</v>
      </c>
      <c r="I113" s="352" t="s">
        <v>43</v>
      </c>
      <c r="M113" s="575" t="s">
        <v>14</v>
      </c>
      <c r="N113" s="2354">
        <f>+F113*H113</f>
        <v>59514.232700000008</v>
      </c>
      <c r="O113" s="574" t="s">
        <v>43</v>
      </c>
      <c r="P113" s="377"/>
    </row>
    <row r="114" spans="2:16" s="352" customFormat="1" ht="18" customHeight="1">
      <c r="B114" s="598" t="s">
        <v>464</v>
      </c>
      <c r="C114" s="603"/>
      <c r="D114" s="599" t="s">
        <v>22</v>
      </c>
      <c r="E114" s="603"/>
      <c r="F114" s="405">
        <f>+ROUND(รางส่งน้ำขั้นบันได!F45,2)</f>
        <v>9.4</v>
      </c>
      <c r="G114" s="598" t="s">
        <v>266</v>
      </c>
      <c r="H114" s="601">
        <f>+$K$103</f>
        <v>351.3</v>
      </c>
      <c r="I114" s="352" t="s">
        <v>43</v>
      </c>
      <c r="M114" s="575" t="s">
        <v>14</v>
      </c>
      <c r="N114" s="2354">
        <f t="shared" ref="N114:N119" si="8">+F114*H114</f>
        <v>3302.2200000000003</v>
      </c>
      <c r="O114" s="574" t="s">
        <v>43</v>
      </c>
      <c r="P114" s="377"/>
    </row>
    <row r="115" spans="2:16" s="352" customFormat="1" ht="18" customHeight="1">
      <c r="B115" s="598" t="s">
        <v>267</v>
      </c>
      <c r="C115" s="603"/>
      <c r="D115" s="599" t="s">
        <v>22</v>
      </c>
      <c r="E115" s="603"/>
      <c r="F115" s="405">
        <f>+ROUND(รางส่งน้ำขั้นบันได!G45,2)</f>
        <v>2.82</v>
      </c>
      <c r="G115" s="598" t="s">
        <v>549</v>
      </c>
      <c r="H115" s="601">
        <f>+$K$104</f>
        <v>39.49</v>
      </c>
      <c r="I115" s="352" t="s">
        <v>43</v>
      </c>
      <c r="M115" s="551" t="s">
        <v>14</v>
      </c>
      <c r="N115" s="2354">
        <f t="shared" si="8"/>
        <v>111.3618</v>
      </c>
      <c r="O115" s="574" t="s">
        <v>43</v>
      </c>
      <c r="P115" s="377"/>
    </row>
    <row r="116" spans="2:16" s="352" customFormat="1" ht="18" customHeight="1">
      <c r="B116" s="602" t="s">
        <v>662</v>
      </c>
      <c r="C116" s="603"/>
      <c r="D116" s="599" t="s">
        <v>22</v>
      </c>
      <c r="E116" s="603"/>
      <c r="F116" s="606">
        <f>+ROUND(รางส่งน้ำขั้นบันได!A45,2)</f>
        <v>60.94</v>
      </c>
      <c r="G116" s="598" t="s">
        <v>549</v>
      </c>
      <c r="H116" s="601">
        <f>+($H$18+$N$18*แหล่งวัสดุ!U69)/1000</f>
        <v>19.132069999999999</v>
      </c>
      <c r="I116" s="352" t="s">
        <v>43</v>
      </c>
      <c r="M116" s="551" t="s">
        <v>14</v>
      </c>
      <c r="N116" s="2354">
        <f t="shared" si="8"/>
        <v>1165.9083457999998</v>
      </c>
      <c r="O116" s="574" t="s">
        <v>43</v>
      </c>
      <c r="P116" s="377"/>
    </row>
    <row r="117" spans="2:16" s="352" customFormat="1" ht="18" customHeight="1">
      <c r="B117" s="602" t="s">
        <v>461</v>
      </c>
      <c r="C117" s="603"/>
      <c r="D117" s="599" t="s">
        <v>22</v>
      </c>
      <c r="E117" s="603"/>
      <c r="F117" s="606">
        <f>+ROUND(รางส่งน้ำขั้นบันได!B45,2)</f>
        <v>13.26</v>
      </c>
      <c r="G117" s="598" t="s">
        <v>549</v>
      </c>
      <c r="H117" s="601">
        <f>+$K$105</f>
        <v>19.310789999999997</v>
      </c>
      <c r="I117" s="352" t="s">
        <v>43</v>
      </c>
      <c r="M117" s="551" t="s">
        <v>14</v>
      </c>
      <c r="N117" s="2354">
        <f t="shared" si="8"/>
        <v>256.06107539999994</v>
      </c>
      <c r="O117" s="574" t="s">
        <v>43</v>
      </c>
      <c r="P117" s="377"/>
    </row>
    <row r="118" spans="2:16" s="352" customFormat="1" ht="18" customHeight="1">
      <c r="B118" s="602" t="s">
        <v>462</v>
      </c>
      <c r="C118" s="603"/>
      <c r="D118" s="599" t="s">
        <v>22</v>
      </c>
      <c r="E118" s="603"/>
      <c r="F118" s="606">
        <f>+ROUND(รางส่งน้ำขั้นบันได!C45,2)</f>
        <v>288.36</v>
      </c>
      <c r="G118" s="598" t="s">
        <v>549</v>
      </c>
      <c r="H118" s="601">
        <f>+$K$106</f>
        <v>19.989999999999998</v>
      </c>
      <c r="I118" s="352" t="s">
        <v>43</v>
      </c>
      <c r="M118" s="551" t="s">
        <v>14</v>
      </c>
      <c r="N118" s="2354">
        <f t="shared" si="8"/>
        <v>5764.3163999999997</v>
      </c>
      <c r="O118" s="574" t="s">
        <v>43</v>
      </c>
      <c r="P118" s="377"/>
    </row>
    <row r="119" spans="2:16" s="352" customFormat="1" ht="18" customHeight="1">
      <c r="B119" s="602" t="s">
        <v>265</v>
      </c>
      <c r="C119" s="603"/>
      <c r="D119" s="599" t="s">
        <v>22</v>
      </c>
      <c r="E119" s="603"/>
      <c r="F119" s="1280">
        <f>ROUND(SUM(F116:F118)*0.025,2)</f>
        <v>9.06</v>
      </c>
      <c r="G119" s="598" t="s">
        <v>549</v>
      </c>
      <c r="H119" s="601">
        <f>+$K$107</f>
        <v>46.73</v>
      </c>
      <c r="I119" s="352" t="s">
        <v>43</v>
      </c>
      <c r="M119" s="551" t="s">
        <v>14</v>
      </c>
      <c r="N119" s="2354">
        <f t="shared" si="8"/>
        <v>423.37380000000002</v>
      </c>
      <c r="O119" s="574" t="s">
        <v>43</v>
      </c>
      <c r="P119" s="377"/>
    </row>
    <row r="120" spans="2:16" s="352" customFormat="1" ht="18" customHeight="1">
      <c r="B120" s="550" t="s">
        <v>703</v>
      </c>
      <c r="C120" s="603"/>
      <c r="D120" s="599" t="s">
        <v>22</v>
      </c>
      <c r="E120" s="603"/>
      <c r="F120" s="405">
        <f>+รางส่งน้ำขั้นบันได!I45</f>
        <v>12</v>
      </c>
      <c r="G120" s="352" t="s">
        <v>477</v>
      </c>
      <c r="H120" s="381">
        <f>+$H$28+$N$28</f>
        <v>477.88</v>
      </c>
      <c r="I120" s="352" t="s">
        <v>43</v>
      </c>
      <c r="M120" s="551" t="s">
        <v>14</v>
      </c>
      <c r="N120" s="2354">
        <f>+F120*H120</f>
        <v>5734.5599999999995</v>
      </c>
      <c r="O120" s="574" t="s">
        <v>43</v>
      </c>
      <c r="P120" s="377"/>
    </row>
    <row r="121" spans="2:16" s="352" customFormat="1" ht="18" customHeight="1" thickBot="1">
      <c r="B121" s="2744"/>
      <c r="C121" s="2744"/>
      <c r="D121" s="2744"/>
      <c r="E121" s="2744"/>
      <c r="G121" s="583" t="s">
        <v>705</v>
      </c>
      <c r="M121" s="551" t="s">
        <v>14</v>
      </c>
      <c r="N121" s="1282">
        <f>ROUNDDOWN(SUM(N113:N120),2)</f>
        <v>76272.03</v>
      </c>
      <c r="O121" s="550" t="s">
        <v>43</v>
      </c>
      <c r="P121" s="377"/>
    </row>
    <row r="122" spans="2:16" s="352" customFormat="1" ht="18" customHeight="1" thickTop="1">
      <c r="B122" s="507" t="s">
        <v>2055</v>
      </c>
      <c r="D122" s="579" t="s">
        <v>22</v>
      </c>
      <c r="E122" s="603"/>
      <c r="F122" s="606">
        <f>+F116</f>
        <v>60.94</v>
      </c>
      <c r="G122" s="584" t="s">
        <v>264</v>
      </c>
      <c r="H122" s="2389">
        <f>+แหล่งวัสดุ!V33/1000</f>
        <v>3.3</v>
      </c>
      <c r="I122" s="352" t="s">
        <v>43</v>
      </c>
      <c r="M122" s="551" t="s">
        <v>14</v>
      </c>
      <c r="N122" s="2354">
        <f>F122*H122</f>
        <v>201.10199999999998</v>
      </c>
      <c r="O122" s="550" t="s">
        <v>43</v>
      </c>
      <c r="P122" s="377"/>
    </row>
    <row r="123" spans="2:16" s="2346" customFormat="1" ht="18" customHeight="1">
      <c r="B123" s="507" t="s">
        <v>2054</v>
      </c>
      <c r="D123" s="579" t="s">
        <v>22</v>
      </c>
      <c r="E123" s="2350"/>
      <c r="F123" s="606">
        <f>+F117+F118</f>
        <v>301.62</v>
      </c>
      <c r="G123" s="584" t="s">
        <v>264</v>
      </c>
      <c r="H123" s="2389">
        <f>+H109</f>
        <v>4.0999999999999996</v>
      </c>
      <c r="I123" s="2346" t="s">
        <v>43</v>
      </c>
      <c r="M123" s="551" t="s">
        <v>14</v>
      </c>
      <c r="N123" s="2354">
        <f>F123*H123</f>
        <v>1236.6419999999998</v>
      </c>
      <c r="O123" s="550" t="s">
        <v>43</v>
      </c>
      <c r="P123" s="377"/>
    </row>
    <row r="124" spans="2:16" s="352" customFormat="1" ht="18" customHeight="1">
      <c r="B124" s="267" t="s">
        <v>1719</v>
      </c>
      <c r="D124" s="579" t="s">
        <v>22</v>
      </c>
      <c r="E124" s="603"/>
      <c r="F124" s="606">
        <f>F114</f>
        <v>9.4</v>
      </c>
      <c r="G124" s="584" t="s">
        <v>266</v>
      </c>
      <c r="H124" s="439">
        <f>+H110</f>
        <v>133</v>
      </c>
      <c r="I124" s="352" t="s">
        <v>43</v>
      </c>
      <c r="M124" s="551" t="s">
        <v>14</v>
      </c>
      <c r="N124" s="2354">
        <f>F124*H124</f>
        <v>1250.2</v>
      </c>
      <c r="O124" s="550" t="s">
        <v>43</v>
      </c>
      <c r="P124" s="377"/>
    </row>
    <row r="125" spans="2:16" s="352" customFormat="1" ht="18" customHeight="1" thickBot="1">
      <c r="B125" s="603"/>
      <c r="C125" s="603"/>
      <c r="D125" s="603"/>
      <c r="E125" s="603"/>
      <c r="G125" s="583" t="s">
        <v>1785</v>
      </c>
      <c r="M125" s="551" t="s">
        <v>14</v>
      </c>
      <c r="N125" s="1282">
        <f>ROUNDDOWN(SUM(N122:N124),2)</f>
        <v>2687.94</v>
      </c>
      <c r="O125" s="550" t="s">
        <v>43</v>
      </c>
      <c r="P125" s="377"/>
    </row>
    <row r="126" spans="2:16" s="352" customFormat="1" ht="18" customHeight="1" thickTop="1">
      <c r="B126" s="559" t="str">
        <f>+"9."&amp;ปร.4_Roads!C163</f>
        <v>9.บ่อรับน้ำปากท่อ ขนาด Dia. 2 - 1.00 ม.</v>
      </c>
      <c r="C126" s="603"/>
      <c r="D126" s="603"/>
      <c r="E126" s="603"/>
      <c r="M126" s="551"/>
      <c r="N126" s="447"/>
      <c r="O126" s="550"/>
      <c r="P126" s="377"/>
    </row>
    <row r="127" spans="2:16" s="352" customFormat="1" ht="18" customHeight="1">
      <c r="B127" s="598" t="s">
        <v>463</v>
      </c>
      <c r="C127" s="603"/>
      <c r="D127" s="599" t="s">
        <v>22</v>
      </c>
      <c r="E127" s="603"/>
      <c r="F127" s="405">
        <f>+บ่อรับน้ำ!G21</f>
        <v>2.8985399999999997</v>
      </c>
      <c r="G127" s="598" t="s">
        <v>477</v>
      </c>
      <c r="H127" s="601">
        <f>+$K$102</f>
        <v>2372.0300000000002</v>
      </c>
      <c r="I127" s="352" t="s">
        <v>43</v>
      </c>
      <c r="M127" s="575" t="s">
        <v>14</v>
      </c>
      <c r="N127" s="2354">
        <f>+F127*H127</f>
        <v>6875.4238361999996</v>
      </c>
      <c r="O127" s="574" t="s">
        <v>43</v>
      </c>
      <c r="P127" s="377"/>
    </row>
    <row r="128" spans="2:16" s="352" customFormat="1" ht="18" customHeight="1">
      <c r="B128" s="598" t="s">
        <v>464</v>
      </c>
      <c r="C128" s="603"/>
      <c r="D128" s="599" t="s">
        <v>22</v>
      </c>
      <c r="E128" s="603"/>
      <c r="F128" s="405">
        <f>+บ่อรับน้ำ!H21</f>
        <v>18.323599999999999</v>
      </c>
      <c r="G128" s="598" t="s">
        <v>266</v>
      </c>
      <c r="H128" s="601">
        <f>+$K$103</f>
        <v>351.3</v>
      </c>
      <c r="I128" s="352" t="s">
        <v>43</v>
      </c>
      <c r="M128" s="575" t="s">
        <v>14</v>
      </c>
      <c r="N128" s="2354">
        <f>+F128*H128</f>
        <v>6437.08068</v>
      </c>
      <c r="O128" s="574" t="s">
        <v>43</v>
      </c>
      <c r="P128" s="377"/>
    </row>
    <row r="129" spans="2:16" s="352" customFormat="1" ht="18" customHeight="1">
      <c r="B129" s="598" t="s">
        <v>267</v>
      </c>
      <c r="C129" s="603"/>
      <c r="D129" s="599" t="s">
        <v>22</v>
      </c>
      <c r="E129" s="603"/>
      <c r="F129" s="405">
        <f>+F128*0.3</f>
        <v>5.4970799999999995</v>
      </c>
      <c r="G129" s="598" t="s">
        <v>549</v>
      </c>
      <c r="H129" s="601">
        <f>+$K$104</f>
        <v>39.49</v>
      </c>
      <c r="I129" s="352" t="s">
        <v>43</v>
      </c>
      <c r="M129" s="551" t="s">
        <v>14</v>
      </c>
      <c r="N129" s="2354">
        <f>+F129*H129</f>
        <v>217.07968919999999</v>
      </c>
      <c r="O129" s="574" t="s">
        <v>43</v>
      </c>
      <c r="P129" s="377"/>
    </row>
    <row r="130" spans="2:16" s="352" customFormat="1" ht="18" customHeight="1">
      <c r="B130" s="602" t="s">
        <v>462</v>
      </c>
      <c r="C130" s="603"/>
      <c r="D130" s="599" t="s">
        <v>22</v>
      </c>
      <c r="E130" s="603"/>
      <c r="F130" s="405">
        <f>+บ่อรับน้ำ!U21</f>
        <v>551</v>
      </c>
      <c r="G130" s="598" t="s">
        <v>549</v>
      </c>
      <c r="H130" s="601">
        <f>+$K$106</f>
        <v>19.989999999999998</v>
      </c>
      <c r="I130" s="352" t="s">
        <v>43</v>
      </c>
      <c r="M130" s="551" t="s">
        <v>14</v>
      </c>
      <c r="N130" s="2354">
        <f>+F130*H130</f>
        <v>11014.49</v>
      </c>
      <c r="O130" s="574" t="s">
        <v>43</v>
      </c>
      <c r="P130" s="377"/>
    </row>
    <row r="131" spans="2:16" s="352" customFormat="1" ht="18" customHeight="1">
      <c r="B131" s="602" t="s">
        <v>265</v>
      </c>
      <c r="C131" s="603"/>
      <c r="D131" s="599" t="s">
        <v>22</v>
      </c>
      <c r="E131" s="603"/>
      <c r="F131" s="1280">
        <f>ROUND(F130*0.025,2)</f>
        <v>13.78</v>
      </c>
      <c r="G131" s="598" t="s">
        <v>549</v>
      </c>
      <c r="H131" s="601">
        <f>+$K$107</f>
        <v>46.73</v>
      </c>
      <c r="I131" s="352" t="s">
        <v>43</v>
      </c>
      <c r="M131" s="551" t="s">
        <v>14</v>
      </c>
      <c r="N131" s="2354">
        <f>+F131*H131</f>
        <v>643.93939999999998</v>
      </c>
      <c r="O131" s="574" t="s">
        <v>43</v>
      </c>
      <c r="P131" s="377"/>
    </row>
    <row r="132" spans="2:16" s="352" customFormat="1" ht="18" customHeight="1" thickBot="1">
      <c r="B132" s="603"/>
      <c r="C132" s="603"/>
      <c r="D132" s="603"/>
      <c r="E132" s="603"/>
      <c r="G132" s="583" t="s">
        <v>705</v>
      </c>
      <c r="H132" s="2744" t="s">
        <v>28</v>
      </c>
      <c r="I132" s="2744"/>
      <c r="J132" s="2744"/>
      <c r="K132" s="2744"/>
      <c r="M132" s="551" t="s">
        <v>14</v>
      </c>
      <c r="N132" s="1282">
        <f>SUM(N127:N131)</f>
        <v>25188.0136054</v>
      </c>
      <c r="O132" s="574" t="s">
        <v>43</v>
      </c>
      <c r="P132" s="377"/>
    </row>
    <row r="133" spans="2:16" s="352" customFormat="1" ht="18" customHeight="1" thickTop="1">
      <c r="B133" s="507" t="s">
        <v>2054</v>
      </c>
      <c r="D133" s="579" t="s">
        <v>22</v>
      </c>
      <c r="E133" s="603"/>
      <c r="F133" s="606">
        <f>+F130</f>
        <v>551</v>
      </c>
      <c r="G133" s="584" t="s">
        <v>264</v>
      </c>
      <c r="H133" s="1444">
        <f>+IF(F133&gt;1000,แหล่งวัสดุ!$V$33/1000,แหล่งวัสดุ!$V$32/1000)</f>
        <v>4.0999999999999996</v>
      </c>
      <c r="I133" s="352" t="s">
        <v>43</v>
      </c>
      <c r="M133" s="551" t="s">
        <v>14</v>
      </c>
      <c r="N133" s="2354">
        <f>F133*H133</f>
        <v>2259.1</v>
      </c>
      <c r="O133" s="550" t="s">
        <v>43</v>
      </c>
      <c r="P133" s="377"/>
    </row>
    <row r="134" spans="2:16" s="352" customFormat="1" ht="18" customHeight="1">
      <c r="B134" s="267" t="s">
        <v>476</v>
      </c>
      <c r="D134" s="579" t="s">
        <v>22</v>
      </c>
      <c r="E134" s="603"/>
      <c r="F134" s="606">
        <f>+F128</f>
        <v>18.323599999999999</v>
      </c>
      <c r="G134" s="584" t="s">
        <v>266</v>
      </c>
      <c r="H134" s="439">
        <f>+H124</f>
        <v>133</v>
      </c>
      <c r="I134" s="352" t="s">
        <v>43</v>
      </c>
      <c r="M134" s="551" t="s">
        <v>14</v>
      </c>
      <c r="N134" s="2354">
        <f>F134*H134</f>
        <v>2437.0387999999998</v>
      </c>
      <c r="O134" s="550" t="s">
        <v>43</v>
      </c>
      <c r="P134" s="377"/>
    </row>
    <row r="135" spans="2:16" s="352" customFormat="1" ht="18" customHeight="1" thickBot="1">
      <c r="B135" s="603"/>
      <c r="C135" s="603"/>
      <c r="D135" s="603"/>
      <c r="E135" s="603"/>
      <c r="G135" s="583" t="str">
        <f>+"ค่าแรง"&amp;ปร.4_Roads!C163</f>
        <v>ค่าแรงบ่อรับน้ำปากท่อ ขนาด Dia. 2 - 1.00 ม.</v>
      </c>
      <c r="M135" s="551" t="s">
        <v>14</v>
      </c>
      <c r="N135" s="1282">
        <f>ROUNDDOWN(SUM(N133:N134),2)</f>
        <v>4696.13</v>
      </c>
      <c r="O135" s="550" t="s">
        <v>43</v>
      </c>
      <c r="P135" s="377"/>
    </row>
    <row r="136" spans="2:16" s="352" customFormat="1" ht="18" customHeight="1" thickTop="1">
      <c r="B136" s="559" t="str">
        <f>+"10."&amp;ปร.4_Roads!C164</f>
        <v>10.บ่อรับน้ำปากท่อ ขนาด Dia. 2 - 0.80 ม.</v>
      </c>
      <c r="C136" s="603"/>
      <c r="D136" s="603"/>
      <c r="E136" s="603"/>
      <c r="M136" s="551"/>
      <c r="N136" s="447"/>
      <c r="O136" s="550"/>
      <c r="P136" s="377"/>
    </row>
    <row r="137" spans="2:16" s="352" customFormat="1" ht="18" customHeight="1">
      <c r="B137" s="598" t="s">
        <v>463</v>
      </c>
      <c r="C137" s="603"/>
      <c r="D137" s="599" t="s">
        <v>22</v>
      </c>
      <c r="E137" s="603"/>
      <c r="F137" s="405">
        <f>+บ่อรับน้ำ!G22</f>
        <v>2.1057600000000001</v>
      </c>
      <c r="G137" s="598" t="s">
        <v>477</v>
      </c>
      <c r="H137" s="601">
        <f>+$K$102</f>
        <v>2372.0300000000002</v>
      </c>
      <c r="I137" s="352" t="s">
        <v>43</v>
      </c>
      <c r="M137" s="575" t="s">
        <v>14</v>
      </c>
      <c r="N137" s="2354">
        <f>+F137*H137</f>
        <v>4994.9258928000008</v>
      </c>
      <c r="O137" s="574" t="s">
        <v>43</v>
      </c>
      <c r="P137" s="377"/>
    </row>
    <row r="138" spans="2:16" s="352" customFormat="1" ht="18" customHeight="1">
      <c r="B138" s="598" t="s">
        <v>464</v>
      </c>
      <c r="C138" s="603"/>
      <c r="D138" s="599" t="s">
        <v>22</v>
      </c>
      <c r="E138" s="603"/>
      <c r="F138" s="405">
        <f>+บ่อรับน้ำ!H22</f>
        <v>13.238400000000002</v>
      </c>
      <c r="G138" s="598" t="s">
        <v>266</v>
      </c>
      <c r="H138" s="601">
        <f>+$K$103</f>
        <v>351.3</v>
      </c>
      <c r="I138" s="352" t="s">
        <v>43</v>
      </c>
      <c r="M138" s="575" t="s">
        <v>14</v>
      </c>
      <c r="N138" s="2354">
        <f>+F138*H138</f>
        <v>4650.6499200000007</v>
      </c>
      <c r="O138" s="574" t="s">
        <v>43</v>
      </c>
      <c r="P138" s="377"/>
    </row>
    <row r="139" spans="2:16" s="352" customFormat="1" ht="18" customHeight="1">
      <c r="B139" s="598" t="s">
        <v>267</v>
      </c>
      <c r="C139" s="603"/>
      <c r="D139" s="599" t="s">
        <v>22</v>
      </c>
      <c r="E139" s="603"/>
      <c r="F139" s="405">
        <f>+F138*0.3</f>
        <v>3.9715200000000004</v>
      </c>
      <c r="G139" s="598" t="s">
        <v>549</v>
      </c>
      <c r="H139" s="601">
        <f>+$K$104</f>
        <v>39.49</v>
      </c>
      <c r="I139" s="352" t="s">
        <v>43</v>
      </c>
      <c r="M139" s="551" t="s">
        <v>14</v>
      </c>
      <c r="N139" s="2354">
        <f>+F139*H139</f>
        <v>156.83532480000002</v>
      </c>
      <c r="O139" s="574" t="s">
        <v>43</v>
      </c>
      <c r="P139" s="377"/>
    </row>
    <row r="140" spans="2:16" s="352" customFormat="1" ht="18" customHeight="1">
      <c r="B140" s="602" t="s">
        <v>462</v>
      </c>
      <c r="C140" s="603"/>
      <c r="D140" s="599" t="s">
        <v>22</v>
      </c>
      <c r="E140" s="603"/>
      <c r="F140" s="405">
        <f>+บ่อรับน้ำ!U22</f>
        <v>401</v>
      </c>
      <c r="G140" s="598" t="s">
        <v>549</v>
      </c>
      <c r="H140" s="601">
        <f>+$K$106</f>
        <v>19.989999999999998</v>
      </c>
      <c r="I140" s="352" t="s">
        <v>43</v>
      </c>
      <c r="M140" s="551" t="s">
        <v>14</v>
      </c>
      <c r="N140" s="2354">
        <f>+F140*H140</f>
        <v>8015.99</v>
      </c>
      <c r="O140" s="574" t="s">
        <v>43</v>
      </c>
      <c r="P140" s="377"/>
    </row>
    <row r="141" spans="2:16" s="352" customFormat="1" ht="18" customHeight="1">
      <c r="B141" s="602" t="s">
        <v>265</v>
      </c>
      <c r="C141" s="603"/>
      <c r="D141" s="599" t="s">
        <v>22</v>
      </c>
      <c r="E141" s="603"/>
      <c r="F141" s="1280">
        <f>ROUND(F140*0.025,2)</f>
        <v>10.029999999999999</v>
      </c>
      <c r="G141" s="598" t="s">
        <v>549</v>
      </c>
      <c r="H141" s="601">
        <f>+$K$107</f>
        <v>46.73</v>
      </c>
      <c r="I141" s="352" t="s">
        <v>43</v>
      </c>
      <c r="M141" s="551" t="s">
        <v>14</v>
      </c>
      <c r="N141" s="2354">
        <f>+F141*H141</f>
        <v>468.70189999999997</v>
      </c>
      <c r="O141" s="574" t="s">
        <v>43</v>
      </c>
      <c r="P141" s="377"/>
    </row>
    <row r="142" spans="2:16" s="352" customFormat="1" ht="18" customHeight="1" thickBot="1">
      <c r="B142" s="603"/>
      <c r="C142" s="603"/>
      <c r="D142" s="603"/>
      <c r="E142" s="603"/>
      <c r="G142" s="583" t="s">
        <v>705</v>
      </c>
      <c r="H142" s="2744" t="s">
        <v>28</v>
      </c>
      <c r="I142" s="2744"/>
      <c r="J142" s="2744"/>
      <c r="K142" s="2744"/>
      <c r="M142" s="551" t="s">
        <v>14</v>
      </c>
      <c r="N142" s="1282">
        <f>SUM(N137:N141)</f>
        <v>18287.103037600002</v>
      </c>
      <c r="O142" s="574" t="s">
        <v>43</v>
      </c>
      <c r="P142" s="377"/>
    </row>
    <row r="143" spans="2:16" s="352" customFormat="1" ht="18" customHeight="1" thickTop="1">
      <c r="B143" s="507" t="s">
        <v>2054</v>
      </c>
      <c r="D143" s="579" t="s">
        <v>22</v>
      </c>
      <c r="E143" s="603"/>
      <c r="F143" s="405">
        <f>+F140</f>
        <v>401</v>
      </c>
      <c r="G143" s="584" t="s">
        <v>264</v>
      </c>
      <c r="H143" s="1444">
        <f>+IF(F143&gt;1000,แหล่งวัสดุ!$V$33/1000,แหล่งวัสดุ!$V$32/1000)</f>
        <v>4.0999999999999996</v>
      </c>
      <c r="I143" s="352" t="s">
        <v>43</v>
      </c>
      <c r="M143" s="551" t="s">
        <v>14</v>
      </c>
      <c r="N143" s="2354">
        <f>F143*H143</f>
        <v>1644.1</v>
      </c>
      <c r="O143" s="550" t="s">
        <v>43</v>
      </c>
      <c r="P143" s="377"/>
    </row>
    <row r="144" spans="2:16" s="352" customFormat="1" ht="18" customHeight="1">
      <c r="B144" s="267" t="s">
        <v>476</v>
      </c>
      <c r="D144" s="579" t="s">
        <v>22</v>
      </c>
      <c r="E144" s="603"/>
      <c r="F144" s="606">
        <f>+F138</f>
        <v>13.238400000000002</v>
      </c>
      <c r="G144" s="584" t="s">
        <v>266</v>
      </c>
      <c r="H144" s="439">
        <f>+H134</f>
        <v>133</v>
      </c>
      <c r="I144" s="352" t="s">
        <v>43</v>
      </c>
      <c r="M144" s="551" t="s">
        <v>14</v>
      </c>
      <c r="N144" s="2354">
        <f>F144*H144</f>
        <v>1760.7072000000003</v>
      </c>
      <c r="O144" s="550" t="s">
        <v>43</v>
      </c>
      <c r="P144" s="377"/>
    </row>
    <row r="145" spans="2:16" s="352" customFormat="1" ht="18" customHeight="1" thickBot="1">
      <c r="B145" s="603"/>
      <c r="C145" s="603"/>
      <c r="D145" s="603"/>
      <c r="E145" s="603"/>
      <c r="G145" s="583" t="str">
        <f>+"ค่าแรง"&amp;ปร.4_Roads!C164</f>
        <v>ค่าแรงบ่อรับน้ำปากท่อ ขนาด Dia. 2 - 0.80 ม.</v>
      </c>
      <c r="M145" s="551" t="s">
        <v>14</v>
      </c>
      <c r="N145" s="1282">
        <f>ROUNDDOWN(SUM(N143:N144),2)</f>
        <v>3404.8</v>
      </c>
      <c r="O145" s="550" t="s">
        <v>43</v>
      </c>
      <c r="P145" s="377"/>
    </row>
    <row r="146" spans="2:16" s="352" customFormat="1" ht="18" customHeight="1" thickTop="1">
      <c r="B146" s="559" t="str">
        <f>+"11."&amp;ปร.4_Roads!C165</f>
        <v>11.บ่อรับน้ำปากท่อ ขนาด Dia. 3 - 0.80 ม.</v>
      </c>
      <c r="C146" s="603"/>
      <c r="D146" s="603"/>
      <c r="E146" s="603"/>
      <c r="M146" s="551"/>
      <c r="N146" s="447"/>
      <c r="O146" s="550"/>
      <c r="P146" s="377"/>
    </row>
    <row r="147" spans="2:16" s="352" customFormat="1" ht="18" customHeight="1">
      <c r="B147" s="598" t="s">
        <v>463</v>
      </c>
      <c r="C147" s="603"/>
      <c r="D147" s="599" t="s">
        <v>22</v>
      </c>
      <c r="E147" s="603"/>
      <c r="F147" s="405">
        <f>+บ่อรับน้ำ!G23</f>
        <v>2.6635650000000002</v>
      </c>
      <c r="G147" s="598" t="s">
        <v>477</v>
      </c>
      <c r="H147" s="601">
        <f>+$K$102</f>
        <v>2372.0300000000002</v>
      </c>
      <c r="I147" s="352" t="s">
        <v>43</v>
      </c>
      <c r="M147" s="575" t="s">
        <v>14</v>
      </c>
      <c r="N147" s="2354">
        <f>+F147*H147</f>
        <v>6318.0560869500014</v>
      </c>
      <c r="O147" s="574" t="s">
        <v>43</v>
      </c>
      <c r="P147" s="377"/>
    </row>
    <row r="148" spans="2:16" s="352" customFormat="1" ht="18" customHeight="1">
      <c r="B148" s="598" t="s">
        <v>464</v>
      </c>
      <c r="C148" s="603"/>
      <c r="D148" s="599" t="s">
        <v>22</v>
      </c>
      <c r="E148" s="603"/>
      <c r="F148" s="405">
        <f>+บ่อรับน้ำ!H23</f>
        <v>16.957100000000001</v>
      </c>
      <c r="G148" s="598" t="s">
        <v>266</v>
      </c>
      <c r="H148" s="601">
        <f>+$K$103</f>
        <v>351.3</v>
      </c>
      <c r="I148" s="352" t="s">
        <v>43</v>
      </c>
      <c r="M148" s="575" t="s">
        <v>14</v>
      </c>
      <c r="N148" s="2354">
        <f>+F148*H148</f>
        <v>5957.0292300000001</v>
      </c>
      <c r="O148" s="574" t="s">
        <v>43</v>
      </c>
      <c r="P148" s="377"/>
    </row>
    <row r="149" spans="2:16" s="352" customFormat="1" ht="18" customHeight="1">
      <c r="B149" s="598" t="s">
        <v>267</v>
      </c>
      <c r="C149" s="603"/>
      <c r="D149" s="599" t="s">
        <v>22</v>
      </c>
      <c r="E149" s="603"/>
      <c r="F149" s="405">
        <f>+F148*0.3</f>
        <v>5.0871300000000002</v>
      </c>
      <c r="G149" s="598" t="s">
        <v>549</v>
      </c>
      <c r="H149" s="601">
        <f>+$K$104</f>
        <v>39.49</v>
      </c>
      <c r="I149" s="352" t="s">
        <v>43</v>
      </c>
      <c r="M149" s="551" t="s">
        <v>14</v>
      </c>
      <c r="N149" s="2354">
        <f>+F149*H149</f>
        <v>200.89076370000001</v>
      </c>
      <c r="O149" s="574" t="s">
        <v>43</v>
      </c>
      <c r="P149" s="377"/>
    </row>
    <row r="150" spans="2:16" s="352" customFormat="1" ht="18" customHeight="1">
      <c r="B150" s="602" t="s">
        <v>462</v>
      </c>
      <c r="C150" s="603"/>
      <c r="D150" s="599" t="s">
        <v>22</v>
      </c>
      <c r="E150" s="603"/>
      <c r="F150" s="405">
        <f>+บ่อรับน้ำ!U23</f>
        <v>623</v>
      </c>
      <c r="G150" s="598" t="s">
        <v>549</v>
      </c>
      <c r="H150" s="601">
        <f>+$K$106</f>
        <v>19.989999999999998</v>
      </c>
      <c r="I150" s="352" t="s">
        <v>43</v>
      </c>
      <c r="M150" s="551" t="s">
        <v>14</v>
      </c>
      <c r="N150" s="2354">
        <f>+F150*H150</f>
        <v>12453.769999999999</v>
      </c>
      <c r="O150" s="574" t="s">
        <v>43</v>
      </c>
      <c r="P150" s="377"/>
    </row>
    <row r="151" spans="2:16" s="352" customFormat="1" ht="18" customHeight="1">
      <c r="B151" s="602" t="s">
        <v>265</v>
      </c>
      <c r="C151" s="603"/>
      <c r="D151" s="599" t="s">
        <v>22</v>
      </c>
      <c r="E151" s="603"/>
      <c r="F151" s="1280">
        <f>ROUND(F150*0.025,2)</f>
        <v>15.58</v>
      </c>
      <c r="G151" s="598" t="s">
        <v>549</v>
      </c>
      <c r="H151" s="601">
        <f>+$K$107</f>
        <v>46.73</v>
      </c>
      <c r="I151" s="352" t="s">
        <v>43</v>
      </c>
      <c r="M151" s="551" t="s">
        <v>14</v>
      </c>
      <c r="N151" s="2354">
        <f>+F151*H151</f>
        <v>728.05340000000001</v>
      </c>
      <c r="O151" s="574" t="s">
        <v>43</v>
      </c>
      <c r="P151" s="377"/>
    </row>
    <row r="152" spans="2:16" s="352" customFormat="1" ht="18" customHeight="1" thickBot="1">
      <c r="B152" s="603"/>
      <c r="C152" s="603"/>
      <c r="D152" s="603"/>
      <c r="E152" s="603"/>
      <c r="G152" s="583" t="s">
        <v>705</v>
      </c>
      <c r="H152" s="2744" t="s">
        <v>28</v>
      </c>
      <c r="I152" s="2744"/>
      <c r="J152" s="2744"/>
      <c r="K152" s="2744"/>
      <c r="M152" s="551" t="s">
        <v>14</v>
      </c>
      <c r="N152" s="1282">
        <f>SUM(N147:N151)</f>
        <v>25657.799480649999</v>
      </c>
      <c r="O152" s="574" t="s">
        <v>43</v>
      </c>
      <c r="P152" s="377"/>
    </row>
    <row r="153" spans="2:16" s="352" customFormat="1" ht="18" customHeight="1" thickTop="1">
      <c r="B153" s="507" t="s">
        <v>2054</v>
      </c>
      <c r="D153" s="579" t="s">
        <v>22</v>
      </c>
      <c r="E153" s="603"/>
      <c r="F153" s="606">
        <f>+F150</f>
        <v>623</v>
      </c>
      <c r="G153" s="584" t="s">
        <v>264</v>
      </c>
      <c r="H153" s="1444">
        <f>+IF(F153&gt;1000,แหล่งวัสดุ!$V$33/1000,แหล่งวัสดุ!$V$32/1000)</f>
        <v>4.0999999999999996</v>
      </c>
      <c r="I153" s="352" t="s">
        <v>43</v>
      </c>
      <c r="M153" s="551" t="s">
        <v>14</v>
      </c>
      <c r="N153" s="2354">
        <f>F153*H153</f>
        <v>2554.2999999999997</v>
      </c>
      <c r="O153" s="550" t="s">
        <v>43</v>
      </c>
      <c r="P153" s="377"/>
    </row>
    <row r="154" spans="2:16" s="352" customFormat="1" ht="18" customHeight="1">
      <c r="B154" s="267" t="s">
        <v>476</v>
      </c>
      <c r="D154" s="579" t="s">
        <v>22</v>
      </c>
      <c r="E154" s="603"/>
      <c r="F154" s="606">
        <f>+F148</f>
        <v>16.957100000000001</v>
      </c>
      <c r="G154" s="584" t="s">
        <v>266</v>
      </c>
      <c r="H154" s="439">
        <f>+H144</f>
        <v>133</v>
      </c>
      <c r="I154" s="352" t="s">
        <v>43</v>
      </c>
      <c r="M154" s="551" t="s">
        <v>14</v>
      </c>
      <c r="N154" s="2354">
        <f>F154*H154</f>
        <v>2255.2943</v>
      </c>
      <c r="O154" s="550" t="s">
        <v>43</v>
      </c>
      <c r="P154" s="377"/>
    </row>
    <row r="155" spans="2:16" s="352" customFormat="1" ht="18" customHeight="1" thickBot="1">
      <c r="B155" s="603"/>
      <c r="C155" s="603"/>
      <c r="D155" s="603"/>
      <c r="E155" s="603"/>
      <c r="G155" s="583" t="str">
        <f>+"ค่าแรง"&amp;ปร.4_Roads!C165</f>
        <v>ค่าแรงบ่อรับน้ำปากท่อ ขนาด Dia. 3 - 0.80 ม.</v>
      </c>
      <c r="M155" s="551" t="s">
        <v>14</v>
      </c>
      <c r="N155" s="1282">
        <f>ROUNDDOWN(SUM(N153:N154),2)</f>
        <v>4809.59</v>
      </c>
      <c r="O155" s="550" t="s">
        <v>43</v>
      </c>
      <c r="P155" s="377"/>
    </row>
    <row r="156" spans="2:16" s="2411" customFormat="1" ht="18" customHeight="1" thickTop="1">
      <c r="B156" s="559" t="str">
        <f>+"12. "&amp;ปร.4_Roads!$C$146</f>
        <v>12. บ่อพักน้ำ คสล.ท่อกลมสองด้านเท่ากัน Dia.1.00 ม.</v>
      </c>
      <c r="C156" s="2413"/>
      <c r="D156" s="2413"/>
      <c r="E156" s="2413"/>
      <c r="M156" s="551"/>
      <c r="N156" s="447"/>
      <c r="O156" s="550"/>
      <c r="P156" s="377"/>
    </row>
    <row r="157" spans="2:16" s="2441" customFormat="1" ht="18" customHeight="1">
      <c r="B157" s="574" t="s">
        <v>2076</v>
      </c>
      <c r="C157" s="584"/>
      <c r="D157" s="599" t="s">
        <v>22</v>
      </c>
      <c r="E157" s="584"/>
      <c r="F157" s="377">
        <f>+บ่อพักน้ำใต้ทางเท้า!E4</f>
        <v>7.125</v>
      </c>
      <c r="G157" s="598" t="s">
        <v>477</v>
      </c>
      <c r="H157" s="2449">
        <f>+'S2'!$BF$33</f>
        <v>20.92</v>
      </c>
      <c r="I157" s="2441" t="s">
        <v>43</v>
      </c>
      <c r="M157" s="575" t="s">
        <v>14</v>
      </c>
      <c r="N157" s="2354">
        <f>+F157*H157</f>
        <v>149.05500000000001</v>
      </c>
      <c r="O157" s="574" t="s">
        <v>43</v>
      </c>
      <c r="P157" s="377"/>
    </row>
    <row r="158" spans="2:16" s="2411" customFormat="1" ht="18" customHeight="1">
      <c r="B158" s="598" t="s">
        <v>463</v>
      </c>
      <c r="C158" s="2413"/>
      <c r="D158" s="599" t="s">
        <v>22</v>
      </c>
      <c r="E158" s="2413"/>
      <c r="F158" s="405">
        <f>+บ่อพักน้ำใต้ทางเท้า!P4</f>
        <v>2.238</v>
      </c>
      <c r="G158" s="598" t="s">
        <v>477</v>
      </c>
      <c r="H158" s="601">
        <f>+$K$102</f>
        <v>2372.0300000000002</v>
      </c>
      <c r="I158" s="2411" t="s">
        <v>43</v>
      </c>
      <c r="M158" s="575" t="s">
        <v>14</v>
      </c>
      <c r="N158" s="2354">
        <f>+F158*H158</f>
        <v>5308.6031400000002</v>
      </c>
      <c r="O158" s="574" t="s">
        <v>43</v>
      </c>
      <c r="P158" s="377"/>
    </row>
    <row r="159" spans="2:16" s="2441" customFormat="1" ht="18" customHeight="1">
      <c r="B159" s="598" t="s">
        <v>717</v>
      </c>
      <c r="C159" s="2445"/>
      <c r="D159" s="599" t="s">
        <v>22</v>
      </c>
      <c r="E159" s="2445"/>
      <c r="F159" s="405">
        <f>+บ่อพักน้ำใต้ทางเท้า!Q4</f>
        <v>0.14000000000000001</v>
      </c>
      <c r="G159" s="598" t="s">
        <v>477</v>
      </c>
      <c r="H159" s="601">
        <f>+$N$38</f>
        <v>2082</v>
      </c>
      <c r="I159" s="2441" t="s">
        <v>43</v>
      </c>
      <c r="M159" s="575" t="s">
        <v>14</v>
      </c>
      <c r="N159" s="2354">
        <f t="shared" ref="N159:N160" si="9">+F159*H159</f>
        <v>291.48</v>
      </c>
      <c r="O159" s="574" t="s">
        <v>43</v>
      </c>
      <c r="P159" s="377"/>
    </row>
    <row r="160" spans="2:16" s="2441" customFormat="1" ht="18" customHeight="1">
      <c r="B160" s="598" t="s">
        <v>392</v>
      </c>
      <c r="C160" s="2445"/>
      <c r="D160" s="599" t="s">
        <v>22</v>
      </c>
      <c r="E160" s="2445"/>
      <c r="F160" s="405">
        <f>+บ่อพักน้ำใต้ทางเท้า!R4</f>
        <v>0.28999999999999998</v>
      </c>
      <c r="G160" s="598" t="s">
        <v>477</v>
      </c>
      <c r="H160" s="601">
        <f>+H13+$N$13</f>
        <v>291.43</v>
      </c>
      <c r="I160" s="2441" t="s">
        <v>43</v>
      </c>
      <c r="M160" s="575" t="s">
        <v>14</v>
      </c>
      <c r="N160" s="2354">
        <f t="shared" si="9"/>
        <v>84.514699999999991</v>
      </c>
      <c r="O160" s="574" t="s">
        <v>43</v>
      </c>
      <c r="P160" s="377"/>
    </row>
    <row r="161" spans="2:16" s="2411" customFormat="1" ht="18" customHeight="1">
      <c r="B161" s="598" t="s">
        <v>464</v>
      </c>
      <c r="C161" s="2413"/>
      <c r="D161" s="599" t="s">
        <v>22</v>
      </c>
      <c r="E161" s="2413"/>
      <c r="F161" s="405">
        <f>+บ่อพักน้ำใต้ทางเท้า!O15</f>
        <v>6.8</v>
      </c>
      <c r="G161" s="598" t="s">
        <v>266</v>
      </c>
      <c r="H161" s="601">
        <f>+$K$103</f>
        <v>351.3</v>
      </c>
      <c r="I161" s="2411" t="s">
        <v>43</v>
      </c>
      <c r="M161" s="575" t="s">
        <v>14</v>
      </c>
      <c r="N161" s="2354">
        <f t="shared" ref="N161:N169" si="10">+F161*H161</f>
        <v>2388.84</v>
      </c>
      <c r="O161" s="574" t="s">
        <v>43</v>
      </c>
      <c r="P161" s="377"/>
    </row>
    <row r="162" spans="2:16" s="2411" customFormat="1" ht="18" customHeight="1">
      <c r="B162" s="598" t="s">
        <v>267</v>
      </c>
      <c r="C162" s="2413"/>
      <c r="D162" s="599" t="s">
        <v>22</v>
      </c>
      <c r="E162" s="2413"/>
      <c r="F162" s="405">
        <f>+F161*0.3</f>
        <v>2.04</v>
      </c>
      <c r="G162" s="598" t="s">
        <v>549</v>
      </c>
      <c r="H162" s="601">
        <f>+$K$104</f>
        <v>39.49</v>
      </c>
      <c r="I162" s="2411" t="s">
        <v>43</v>
      </c>
      <c r="M162" s="551" t="s">
        <v>14</v>
      </c>
      <c r="N162" s="2354">
        <f t="shared" si="10"/>
        <v>80.559600000000003</v>
      </c>
      <c r="O162" s="574" t="s">
        <v>43</v>
      </c>
      <c r="P162" s="377"/>
    </row>
    <row r="163" spans="2:16" s="2411" customFormat="1" ht="18" customHeight="1">
      <c r="B163" s="602" t="s">
        <v>462</v>
      </c>
      <c r="C163" s="2413"/>
      <c r="D163" s="599" t="s">
        <v>22</v>
      </c>
      <c r="E163" s="2413"/>
      <c r="F163" s="606">
        <f>+บ่อพักน้ำใต้ทางเท้า!R19</f>
        <v>1.35</v>
      </c>
      <c r="G163" s="598" t="s">
        <v>549</v>
      </c>
      <c r="H163" s="601">
        <f>+($H$16+$N$16*แหล่งวัสดุ!$U$69)/1000</f>
        <v>19.988179999999996</v>
      </c>
      <c r="I163" s="2411" t="s">
        <v>43</v>
      </c>
      <c r="M163" s="551" t="s">
        <v>14</v>
      </c>
      <c r="N163" s="2354">
        <f t="shared" si="10"/>
        <v>26.984042999999996</v>
      </c>
      <c r="O163" s="574" t="s">
        <v>43</v>
      </c>
      <c r="P163" s="377"/>
    </row>
    <row r="164" spans="2:16" s="2411" customFormat="1" ht="18" customHeight="1">
      <c r="B164" s="602" t="s">
        <v>461</v>
      </c>
      <c r="C164" s="2413"/>
      <c r="D164" s="599" t="s">
        <v>22</v>
      </c>
      <c r="E164" s="2413"/>
      <c r="F164" s="606">
        <f>+บ่อพักน้ำใต้ทางเท้า!L16</f>
        <v>111.53</v>
      </c>
      <c r="G164" s="598" t="s">
        <v>549</v>
      </c>
      <c r="H164" s="601">
        <f>+$H$117</f>
        <v>19.310789999999997</v>
      </c>
      <c r="I164" s="2411" t="s">
        <v>43</v>
      </c>
      <c r="M164" s="551" t="s">
        <v>14</v>
      </c>
      <c r="N164" s="2354">
        <f t="shared" si="10"/>
        <v>2153.7324086999997</v>
      </c>
      <c r="O164" s="574" t="s">
        <v>43</v>
      </c>
      <c r="P164" s="377"/>
    </row>
    <row r="165" spans="2:16" s="2438" customFormat="1" ht="18" customHeight="1">
      <c r="B165" s="602" t="s">
        <v>662</v>
      </c>
      <c r="C165" s="2440"/>
      <c r="D165" s="599" t="s">
        <v>22</v>
      </c>
      <c r="E165" s="2440"/>
      <c r="F165" s="606">
        <f>+บ่อพักน้ำใต้ทางเท้า!L17</f>
        <v>9.06</v>
      </c>
      <c r="G165" s="598" t="s">
        <v>549</v>
      </c>
      <c r="H165" s="601">
        <f>+$H$116</f>
        <v>19.132069999999999</v>
      </c>
      <c r="I165" s="2438" t="s">
        <v>43</v>
      </c>
      <c r="M165" s="551" t="s">
        <v>14</v>
      </c>
      <c r="N165" s="2354">
        <f t="shared" ref="N165" si="11">+F165*H165</f>
        <v>173.33655419999999</v>
      </c>
      <c r="O165" s="574" t="s">
        <v>43</v>
      </c>
      <c r="P165" s="377"/>
    </row>
    <row r="166" spans="2:16" s="2411" customFormat="1" ht="18" customHeight="1">
      <c r="B166" s="602" t="s">
        <v>2126</v>
      </c>
      <c r="C166" s="2413"/>
      <c r="D166" s="599" t="s">
        <v>22</v>
      </c>
      <c r="E166" s="2413"/>
      <c r="F166" s="606">
        <f>+บ่อพักน้ำใต้ทางเท้า!R18</f>
        <v>16.899999999999999</v>
      </c>
      <c r="G166" s="598" t="s">
        <v>549</v>
      </c>
      <c r="H166" s="601">
        <f>+($H$20+$N$20*แหล่งวัสดุ!$U$69)/1000</f>
        <v>19.611969999999996</v>
      </c>
      <c r="I166" s="2411" t="s">
        <v>43</v>
      </c>
      <c r="M166" s="551" t="s">
        <v>14</v>
      </c>
      <c r="N166" s="2354">
        <f t="shared" si="10"/>
        <v>331.44229299999989</v>
      </c>
      <c r="O166" s="574" t="s">
        <v>43</v>
      </c>
      <c r="P166" s="377"/>
    </row>
    <row r="167" spans="2:16" s="2438" customFormat="1" ht="18" customHeight="1">
      <c r="B167" s="602" t="s">
        <v>2127</v>
      </c>
      <c r="C167" s="2440"/>
      <c r="D167" s="599" t="s">
        <v>22</v>
      </c>
      <c r="E167" s="2440"/>
      <c r="F167" s="606">
        <f>+บ่อพักน้ำใต้ทางเท้า!R17</f>
        <v>8.0299999999999994</v>
      </c>
      <c r="G167" s="598" t="s">
        <v>549</v>
      </c>
      <c r="H167" s="601">
        <f>+($H$21+$N$21*แหล่งวัสดุ!$U$69)/1000</f>
        <v>18.758230000000001</v>
      </c>
      <c r="I167" s="2438" t="s">
        <v>43</v>
      </c>
      <c r="M167" s="551" t="s">
        <v>14</v>
      </c>
      <c r="N167" s="2354">
        <f t="shared" si="10"/>
        <v>150.62858689999999</v>
      </c>
      <c r="O167" s="574" t="s">
        <v>43</v>
      </c>
      <c r="P167" s="377"/>
    </row>
    <row r="168" spans="2:16" s="2438" customFormat="1" ht="18" customHeight="1">
      <c r="B168" s="602" t="s">
        <v>2128</v>
      </c>
      <c r="C168" s="2440"/>
      <c r="D168" s="599" t="s">
        <v>22</v>
      </c>
      <c r="E168" s="2440"/>
      <c r="F168" s="606">
        <f>+บ่อพักน้ำใต้ทางเท้า!L18</f>
        <v>0</v>
      </c>
      <c r="G168" s="598" t="s">
        <v>549</v>
      </c>
      <c r="H168" s="601">
        <f>+($H$19+$N$19*แหล่งวัสดุ!$U$69)/1000</f>
        <v>19.505559999999999</v>
      </c>
      <c r="I168" s="2438" t="s">
        <v>43</v>
      </c>
      <c r="M168" s="551" t="s">
        <v>14</v>
      </c>
      <c r="N168" s="2354">
        <f t="shared" si="10"/>
        <v>0</v>
      </c>
      <c r="O168" s="574" t="s">
        <v>43</v>
      </c>
      <c r="P168" s="377"/>
    </row>
    <row r="169" spans="2:16" s="2411" customFormat="1" ht="18" customHeight="1">
      <c r="B169" s="602" t="s">
        <v>265</v>
      </c>
      <c r="C169" s="2413"/>
      <c r="D169" s="599" t="s">
        <v>22</v>
      </c>
      <c r="E169" s="2413"/>
      <c r="F169" s="1280">
        <f>ROUND(SUM(F163:F168)*0.025,2)</f>
        <v>3.67</v>
      </c>
      <c r="G169" s="598" t="s">
        <v>549</v>
      </c>
      <c r="H169" s="601">
        <f>+$K$107</f>
        <v>46.73</v>
      </c>
      <c r="I169" s="2411" t="s">
        <v>43</v>
      </c>
      <c r="M169" s="551" t="s">
        <v>14</v>
      </c>
      <c r="N169" s="2354">
        <f t="shared" si="10"/>
        <v>171.4991</v>
      </c>
      <c r="O169" s="574" t="s">
        <v>43</v>
      </c>
      <c r="P169" s="377"/>
    </row>
    <row r="170" spans="2:16" s="2411" customFormat="1" ht="18" customHeight="1">
      <c r="B170" s="550" t="s">
        <v>2129</v>
      </c>
      <c r="C170" s="2413"/>
      <c r="D170" s="599" t="s">
        <v>22</v>
      </c>
      <c r="E170" s="2413"/>
      <c r="F170" s="405">
        <f>+บ่อพักน้ำใต้ทางเท้า!O16*41.5/6</f>
        <v>61.420000000000009</v>
      </c>
      <c r="G170" s="598" t="s">
        <v>549</v>
      </c>
      <c r="H170" s="601">
        <f>+($H$22+$N$22*แหล่งวัสดุ!$U$69)/1000</f>
        <v>18.090009999999999</v>
      </c>
      <c r="I170" s="2438" t="s">
        <v>43</v>
      </c>
      <c r="M170" s="551" t="s">
        <v>14</v>
      </c>
      <c r="N170" s="2354">
        <f>+F170*H170</f>
        <v>1111.0884142000002</v>
      </c>
      <c r="O170" s="574" t="s">
        <v>43</v>
      </c>
      <c r="P170" s="377"/>
    </row>
    <row r="171" spans="2:16" s="2411" customFormat="1" ht="18" customHeight="1" thickBot="1">
      <c r="B171" s="2744"/>
      <c r="C171" s="2744"/>
      <c r="D171" s="2744"/>
      <c r="E171" s="2744"/>
      <c r="G171" s="583" t="s">
        <v>705</v>
      </c>
      <c r="M171" s="551" t="s">
        <v>14</v>
      </c>
      <c r="N171" s="1282">
        <f>ROUNDDOWN(SUM(N157:N170),2)</f>
        <v>12421.76</v>
      </c>
      <c r="O171" s="550" t="s">
        <v>43</v>
      </c>
      <c r="P171" s="377"/>
    </row>
    <row r="172" spans="2:16" s="2411" customFormat="1" ht="18" customHeight="1" thickTop="1">
      <c r="B172" s="507" t="s">
        <v>2055</v>
      </c>
      <c r="D172" s="579" t="s">
        <v>22</v>
      </c>
      <c r="E172" s="2413"/>
      <c r="F172" s="606">
        <f>SUM(F165:F168)</f>
        <v>33.99</v>
      </c>
      <c r="G172" s="584" t="s">
        <v>264</v>
      </c>
      <c r="H172" s="2389">
        <f>+แหล่งวัสดุ!$V$33/1000</f>
        <v>3.3</v>
      </c>
      <c r="I172" s="2411" t="s">
        <v>43</v>
      </c>
      <c r="M172" s="551" t="s">
        <v>14</v>
      </c>
      <c r="N172" s="2354">
        <f>F172*H172</f>
        <v>112.167</v>
      </c>
      <c r="O172" s="550" t="s">
        <v>43</v>
      </c>
      <c r="P172" s="377"/>
    </row>
    <row r="173" spans="2:16" s="2411" customFormat="1" ht="18" customHeight="1">
      <c r="B173" s="507" t="s">
        <v>2054</v>
      </c>
      <c r="D173" s="579" t="s">
        <v>22</v>
      </c>
      <c r="E173" s="2413"/>
      <c r="F173" s="606">
        <f>+F163+F164</f>
        <v>112.88</v>
      </c>
      <c r="G173" s="584" t="s">
        <v>264</v>
      </c>
      <c r="H173" s="2389">
        <f>+แหล่งวัสดุ!$V$32/1000</f>
        <v>4.0999999999999996</v>
      </c>
      <c r="I173" s="2411" t="s">
        <v>43</v>
      </c>
      <c r="M173" s="551" t="s">
        <v>14</v>
      </c>
      <c r="N173" s="2354">
        <f>F173*H173</f>
        <v>462.80799999999994</v>
      </c>
      <c r="O173" s="550" t="s">
        <v>43</v>
      </c>
      <c r="P173" s="377"/>
    </row>
    <row r="174" spans="2:16" s="2411" customFormat="1" ht="18" customHeight="1">
      <c r="B174" s="267" t="s">
        <v>1719</v>
      </c>
      <c r="D174" s="579" t="s">
        <v>22</v>
      </c>
      <c r="E174" s="2413"/>
      <c r="F174" s="606">
        <f>F161</f>
        <v>6.8</v>
      </c>
      <c r="G174" s="584" t="s">
        <v>266</v>
      </c>
      <c r="H174" s="439">
        <f>+H154</f>
        <v>133</v>
      </c>
      <c r="I174" s="2411" t="s">
        <v>43</v>
      </c>
      <c r="M174" s="551" t="s">
        <v>14</v>
      </c>
      <c r="N174" s="2354">
        <f>F174*H174</f>
        <v>904.4</v>
      </c>
      <c r="O174" s="550" t="s">
        <v>43</v>
      </c>
      <c r="P174" s="377"/>
    </row>
    <row r="175" spans="2:16" s="2411" customFormat="1" ht="18" customHeight="1" thickBot="1">
      <c r="B175" s="2413"/>
      <c r="C175" s="2413"/>
      <c r="D175" s="2413"/>
      <c r="E175" s="2413"/>
      <c r="G175" s="583" t="s">
        <v>1785</v>
      </c>
      <c r="M175" s="551" t="s">
        <v>14</v>
      </c>
      <c r="N175" s="1282">
        <f>ROUNDDOWN(SUM(N172:N174),2)</f>
        <v>1479.37</v>
      </c>
      <c r="O175" s="550" t="s">
        <v>43</v>
      </c>
      <c r="P175" s="377"/>
    </row>
    <row r="176" spans="2:16" s="2441" customFormat="1" ht="18" customHeight="1" thickTop="1">
      <c r="B176" s="559" t="str">
        <f>+"13. "&amp;ปร.4_Roads!$C$147</f>
        <v>13. บ่อพักน้ำ คสล.ท่อกลมสามด้านเท่ากัน Dia.1.00 ม.</v>
      </c>
      <c r="C176" s="2445"/>
      <c r="D176" s="2445"/>
      <c r="E176" s="2445"/>
      <c r="M176" s="551"/>
      <c r="N176" s="447"/>
      <c r="O176" s="550"/>
      <c r="P176" s="377"/>
    </row>
    <row r="177" spans="2:16" s="2441" customFormat="1" ht="18" customHeight="1">
      <c r="B177" s="574" t="s">
        <v>2076</v>
      </c>
      <c r="C177" s="584"/>
      <c r="D177" s="599" t="s">
        <v>22</v>
      </c>
      <c r="E177" s="584"/>
      <c r="F177" s="606">
        <f>+บ่อพักน้ำใต้ทางเท้า!E23</f>
        <v>7.125</v>
      </c>
      <c r="G177" s="598" t="s">
        <v>477</v>
      </c>
      <c r="H177" s="2449">
        <f>+'S2'!$BF$33</f>
        <v>20.92</v>
      </c>
      <c r="I177" s="2441" t="s">
        <v>43</v>
      </c>
      <c r="M177" s="575" t="s">
        <v>14</v>
      </c>
      <c r="N177" s="2354">
        <f>+F177*H177</f>
        <v>149.05500000000001</v>
      </c>
      <c r="O177" s="574" t="s">
        <v>43</v>
      </c>
      <c r="P177" s="377"/>
    </row>
    <row r="178" spans="2:16" s="2441" customFormat="1" ht="18" customHeight="1">
      <c r="B178" s="598" t="s">
        <v>463</v>
      </c>
      <c r="C178" s="2445"/>
      <c r="D178" s="599" t="s">
        <v>22</v>
      </c>
      <c r="E178" s="2445"/>
      <c r="F178" s="405">
        <f>+บ่อพักน้ำใต้ทางเท้า!P23</f>
        <v>2.1680000000000001</v>
      </c>
      <c r="G178" s="598" t="s">
        <v>477</v>
      </c>
      <c r="H178" s="601">
        <f>+$K$102</f>
        <v>2372.0300000000002</v>
      </c>
      <c r="I178" s="2441" t="s">
        <v>43</v>
      </c>
      <c r="M178" s="575" t="s">
        <v>14</v>
      </c>
      <c r="N178" s="2354">
        <f>+F178*H178</f>
        <v>5142.5610400000005</v>
      </c>
      <c r="O178" s="574" t="s">
        <v>43</v>
      </c>
      <c r="P178" s="377"/>
    </row>
    <row r="179" spans="2:16" s="2441" customFormat="1" ht="18" customHeight="1">
      <c r="B179" s="598" t="s">
        <v>717</v>
      </c>
      <c r="C179" s="2445"/>
      <c r="D179" s="599" t="s">
        <v>22</v>
      </c>
      <c r="E179" s="2445"/>
      <c r="F179" s="405">
        <f>+บ่อพักน้ำใต้ทางเท้า!Q23</f>
        <v>0.14000000000000001</v>
      </c>
      <c r="G179" s="598" t="s">
        <v>477</v>
      </c>
      <c r="H179" s="601">
        <f>+$N$38</f>
        <v>2082</v>
      </c>
      <c r="I179" s="2441" t="s">
        <v>43</v>
      </c>
      <c r="M179" s="575" t="s">
        <v>14</v>
      </c>
      <c r="N179" s="2354">
        <f t="shared" ref="N179:N180" si="12">+F179*H179</f>
        <v>291.48</v>
      </c>
      <c r="O179" s="574" t="s">
        <v>43</v>
      </c>
      <c r="P179" s="377"/>
    </row>
    <row r="180" spans="2:16" s="2441" customFormat="1" ht="18" customHeight="1">
      <c r="B180" s="598" t="s">
        <v>392</v>
      </c>
      <c r="C180" s="2445"/>
      <c r="D180" s="599" t="s">
        <v>22</v>
      </c>
      <c r="E180" s="2445"/>
      <c r="F180" s="405">
        <f>+บ่อพักน้ำใต้ทางเท้า!R23</f>
        <v>0.28999999999999998</v>
      </c>
      <c r="G180" s="598" t="s">
        <v>477</v>
      </c>
      <c r="H180" s="601">
        <f>+H32+$N$13</f>
        <v>141.43</v>
      </c>
      <c r="I180" s="2441" t="s">
        <v>43</v>
      </c>
      <c r="M180" s="575" t="s">
        <v>14</v>
      </c>
      <c r="N180" s="2354">
        <f t="shared" si="12"/>
        <v>41.014699999999998</v>
      </c>
      <c r="O180" s="574" t="s">
        <v>43</v>
      </c>
      <c r="P180" s="377"/>
    </row>
    <row r="181" spans="2:16" s="2441" customFormat="1" ht="18" customHeight="1">
      <c r="B181" s="598" t="s">
        <v>464</v>
      </c>
      <c r="C181" s="2445"/>
      <c r="D181" s="599" t="s">
        <v>22</v>
      </c>
      <c r="E181" s="2445"/>
      <c r="F181" s="405">
        <f>+บ่อพักน้ำใต้ทางเท้า!O34</f>
        <v>6.8</v>
      </c>
      <c r="G181" s="598" t="s">
        <v>266</v>
      </c>
      <c r="H181" s="601">
        <f>+$K$103</f>
        <v>351.3</v>
      </c>
      <c r="I181" s="2441" t="s">
        <v>43</v>
      </c>
      <c r="M181" s="575" t="s">
        <v>14</v>
      </c>
      <c r="N181" s="2354">
        <f t="shared" ref="N181:N189" si="13">+F181*H181</f>
        <v>2388.84</v>
      </c>
      <c r="O181" s="574" t="s">
        <v>43</v>
      </c>
      <c r="P181" s="377"/>
    </row>
    <row r="182" spans="2:16" s="2441" customFormat="1" ht="18" customHeight="1">
      <c r="B182" s="598" t="s">
        <v>267</v>
      </c>
      <c r="C182" s="2445"/>
      <c r="D182" s="599" t="s">
        <v>22</v>
      </c>
      <c r="E182" s="2445"/>
      <c r="F182" s="405">
        <f>+F181*0.3</f>
        <v>2.04</v>
      </c>
      <c r="G182" s="598" t="s">
        <v>549</v>
      </c>
      <c r="H182" s="601">
        <f>+$K$104</f>
        <v>39.49</v>
      </c>
      <c r="I182" s="2441" t="s">
        <v>43</v>
      </c>
      <c r="M182" s="551" t="s">
        <v>14</v>
      </c>
      <c r="N182" s="2354">
        <f t="shared" si="13"/>
        <v>80.559600000000003</v>
      </c>
      <c r="O182" s="574" t="s">
        <v>43</v>
      </c>
      <c r="P182" s="377"/>
    </row>
    <row r="183" spans="2:16" s="2441" customFormat="1" ht="18" customHeight="1">
      <c r="B183" s="602" t="s">
        <v>462</v>
      </c>
      <c r="C183" s="2445"/>
      <c r="D183" s="599" t="s">
        <v>22</v>
      </c>
      <c r="E183" s="2445"/>
      <c r="F183" s="606">
        <f>+บ่อพักน้ำใต้ทางเท้า!R38</f>
        <v>1.35</v>
      </c>
      <c r="G183" s="598" t="s">
        <v>549</v>
      </c>
      <c r="H183" s="601">
        <f>+($H$16+$N$16*แหล่งวัสดุ!$U$69)/1000</f>
        <v>19.988179999999996</v>
      </c>
      <c r="I183" s="2441" t="s">
        <v>43</v>
      </c>
      <c r="M183" s="551" t="s">
        <v>14</v>
      </c>
      <c r="N183" s="2354">
        <f t="shared" si="13"/>
        <v>26.984042999999996</v>
      </c>
      <c r="O183" s="574" t="s">
        <v>43</v>
      </c>
      <c r="P183" s="377"/>
    </row>
    <row r="184" spans="2:16" s="2441" customFormat="1" ht="18" customHeight="1">
      <c r="B184" s="602" t="s">
        <v>461</v>
      </c>
      <c r="C184" s="2445"/>
      <c r="D184" s="599" t="s">
        <v>22</v>
      </c>
      <c r="E184" s="2445"/>
      <c r="F184" s="606">
        <f>+บ่อพักน้ำใต้ทางเท้า!L35</f>
        <v>99.35</v>
      </c>
      <c r="G184" s="598" t="s">
        <v>549</v>
      </c>
      <c r="H184" s="601">
        <f>+$H$117</f>
        <v>19.310789999999997</v>
      </c>
      <c r="I184" s="2441" t="s">
        <v>43</v>
      </c>
      <c r="M184" s="551" t="s">
        <v>14</v>
      </c>
      <c r="N184" s="2354">
        <f t="shared" si="13"/>
        <v>1918.5269864999996</v>
      </c>
      <c r="O184" s="574" t="s">
        <v>43</v>
      </c>
      <c r="P184" s="377"/>
    </row>
    <row r="185" spans="2:16" s="2441" customFormat="1" ht="18" customHeight="1">
      <c r="B185" s="602" t="s">
        <v>662</v>
      </c>
      <c r="C185" s="2445"/>
      <c r="D185" s="599" t="s">
        <v>22</v>
      </c>
      <c r="E185" s="2445"/>
      <c r="F185" s="606">
        <f>+บ่อพักน้ำใต้ทางเท้า!L36</f>
        <v>9.06</v>
      </c>
      <c r="G185" s="598" t="s">
        <v>549</v>
      </c>
      <c r="H185" s="601">
        <f>+$H$116</f>
        <v>19.132069999999999</v>
      </c>
      <c r="I185" s="2441" t="s">
        <v>43</v>
      </c>
      <c r="M185" s="551" t="s">
        <v>14</v>
      </c>
      <c r="N185" s="2354">
        <f t="shared" si="13"/>
        <v>173.33655419999999</v>
      </c>
      <c r="O185" s="574" t="s">
        <v>43</v>
      </c>
      <c r="P185" s="377"/>
    </row>
    <row r="186" spans="2:16" s="2441" customFormat="1" ht="18" customHeight="1">
      <c r="B186" s="602" t="s">
        <v>2126</v>
      </c>
      <c r="C186" s="2445"/>
      <c r="D186" s="599" t="s">
        <v>22</v>
      </c>
      <c r="E186" s="2445"/>
      <c r="F186" s="606">
        <f>+บ่อพักน้ำใต้ทางเท้า!R37</f>
        <v>16.899999999999999</v>
      </c>
      <c r="G186" s="598" t="s">
        <v>549</v>
      </c>
      <c r="H186" s="601">
        <f>+($H$20+$N$20*แหล่งวัสดุ!$U$69)/1000</f>
        <v>19.611969999999996</v>
      </c>
      <c r="I186" s="2441" t="s">
        <v>43</v>
      </c>
      <c r="M186" s="551" t="s">
        <v>14</v>
      </c>
      <c r="N186" s="2354">
        <f t="shared" si="13"/>
        <v>331.44229299999989</v>
      </c>
      <c r="O186" s="574" t="s">
        <v>43</v>
      </c>
      <c r="P186" s="377"/>
    </row>
    <row r="187" spans="2:16" s="2441" customFormat="1" ht="18" customHeight="1">
      <c r="B187" s="602" t="s">
        <v>2127</v>
      </c>
      <c r="C187" s="2445"/>
      <c r="D187" s="599" t="s">
        <v>22</v>
      </c>
      <c r="E187" s="2445"/>
      <c r="F187" s="606">
        <f>+บ่อพักน้ำใต้ทางเท้า!R36</f>
        <v>8.0299999999999994</v>
      </c>
      <c r="G187" s="598" t="s">
        <v>549</v>
      </c>
      <c r="H187" s="601">
        <f>+($H$21+$N$21*แหล่งวัสดุ!$U$69)/1000</f>
        <v>18.758230000000001</v>
      </c>
      <c r="I187" s="2441" t="s">
        <v>43</v>
      </c>
      <c r="M187" s="551" t="s">
        <v>14</v>
      </c>
      <c r="N187" s="2354">
        <f t="shared" si="13"/>
        <v>150.62858689999999</v>
      </c>
      <c r="O187" s="574" t="s">
        <v>43</v>
      </c>
      <c r="P187" s="377"/>
    </row>
    <row r="188" spans="2:16" s="2441" customFormat="1" ht="18" customHeight="1">
      <c r="B188" s="602" t="s">
        <v>2128</v>
      </c>
      <c r="C188" s="2445"/>
      <c r="D188" s="599" t="s">
        <v>22</v>
      </c>
      <c r="E188" s="2445"/>
      <c r="F188" s="606">
        <f>+บ่อพักน้ำใต้ทางเท้า!L37</f>
        <v>0</v>
      </c>
      <c r="G188" s="598" t="s">
        <v>549</v>
      </c>
      <c r="H188" s="601">
        <f>+($H$19+$N$19*แหล่งวัสดุ!$U$69)/1000</f>
        <v>19.505559999999999</v>
      </c>
      <c r="I188" s="2441" t="s">
        <v>43</v>
      </c>
      <c r="M188" s="551" t="s">
        <v>14</v>
      </c>
      <c r="N188" s="2354">
        <f t="shared" si="13"/>
        <v>0</v>
      </c>
      <c r="O188" s="574" t="s">
        <v>43</v>
      </c>
      <c r="P188" s="377"/>
    </row>
    <row r="189" spans="2:16" s="2441" customFormat="1" ht="18" customHeight="1">
      <c r="B189" s="602" t="s">
        <v>265</v>
      </c>
      <c r="C189" s="2445"/>
      <c r="D189" s="599" t="s">
        <v>22</v>
      </c>
      <c r="E189" s="2445"/>
      <c r="F189" s="1280">
        <f>ROUND(SUM(F183:F188)*0.025,2)</f>
        <v>3.37</v>
      </c>
      <c r="G189" s="598" t="s">
        <v>549</v>
      </c>
      <c r="H189" s="601">
        <f>+$K$107</f>
        <v>46.73</v>
      </c>
      <c r="I189" s="2441" t="s">
        <v>43</v>
      </c>
      <c r="M189" s="551" t="s">
        <v>14</v>
      </c>
      <c r="N189" s="2354">
        <f t="shared" si="13"/>
        <v>157.48009999999999</v>
      </c>
      <c r="O189" s="574" t="s">
        <v>43</v>
      </c>
      <c r="P189" s="377"/>
    </row>
    <row r="190" spans="2:16" s="2441" customFormat="1" ht="18" customHeight="1">
      <c r="B190" s="550" t="s">
        <v>2129</v>
      </c>
      <c r="C190" s="2445"/>
      <c r="D190" s="599" t="s">
        <v>22</v>
      </c>
      <c r="E190" s="2445"/>
      <c r="F190" s="405">
        <f>+บ่อพักน้ำใต้ทางเท้า!O35*41.5/6</f>
        <v>61.420000000000009</v>
      </c>
      <c r="G190" s="598" t="s">
        <v>549</v>
      </c>
      <c r="H190" s="601">
        <f>+($H$22+$N$22*แหล่งวัสดุ!$U$69)/1000</f>
        <v>18.090009999999999</v>
      </c>
      <c r="I190" s="2441" t="s">
        <v>43</v>
      </c>
      <c r="M190" s="551" t="s">
        <v>14</v>
      </c>
      <c r="N190" s="2354">
        <f>+F190*H190</f>
        <v>1111.0884142000002</v>
      </c>
      <c r="O190" s="574" t="s">
        <v>43</v>
      </c>
      <c r="P190" s="377"/>
    </row>
    <row r="191" spans="2:16" s="2441" customFormat="1" ht="18" customHeight="1" thickBot="1">
      <c r="B191" s="2744"/>
      <c r="C191" s="2744"/>
      <c r="D191" s="2744"/>
      <c r="E191" s="2744"/>
      <c r="G191" s="583" t="s">
        <v>705</v>
      </c>
      <c r="M191" s="551" t="s">
        <v>14</v>
      </c>
      <c r="N191" s="1282">
        <f>ROUNDDOWN(SUM(N177:N190),2)</f>
        <v>11962.99</v>
      </c>
      <c r="O191" s="550" t="s">
        <v>43</v>
      </c>
      <c r="P191" s="377"/>
    </row>
    <row r="192" spans="2:16" s="2441" customFormat="1" ht="18" customHeight="1" thickTop="1">
      <c r="B192" s="507" t="s">
        <v>2055</v>
      </c>
      <c r="D192" s="579" t="s">
        <v>22</v>
      </c>
      <c r="E192" s="2445"/>
      <c r="F192" s="606">
        <f>SUM(F185:F188)</f>
        <v>33.99</v>
      </c>
      <c r="G192" s="584" t="s">
        <v>264</v>
      </c>
      <c r="H192" s="2389">
        <f>+แหล่งวัสดุ!$V$33/1000</f>
        <v>3.3</v>
      </c>
      <c r="I192" s="2441" t="s">
        <v>43</v>
      </c>
      <c r="M192" s="551" t="s">
        <v>14</v>
      </c>
      <c r="N192" s="2354">
        <f>F192*H192</f>
        <v>112.167</v>
      </c>
      <c r="O192" s="550" t="s">
        <v>43</v>
      </c>
      <c r="P192" s="377"/>
    </row>
    <row r="193" spans="2:16" s="2441" customFormat="1" ht="18" customHeight="1">
      <c r="B193" s="507" t="s">
        <v>2054</v>
      </c>
      <c r="D193" s="579" t="s">
        <v>22</v>
      </c>
      <c r="E193" s="2445"/>
      <c r="F193" s="606">
        <f>+F183+F184</f>
        <v>100.69999999999999</v>
      </c>
      <c r="G193" s="584" t="s">
        <v>264</v>
      </c>
      <c r="H193" s="2389">
        <f>+แหล่งวัสดุ!$V$32/1000</f>
        <v>4.0999999999999996</v>
      </c>
      <c r="I193" s="2441" t="s">
        <v>43</v>
      </c>
      <c r="M193" s="551" t="s">
        <v>14</v>
      </c>
      <c r="N193" s="2354">
        <f>F193*H193</f>
        <v>412.86999999999989</v>
      </c>
      <c r="O193" s="550" t="s">
        <v>43</v>
      </c>
      <c r="P193" s="377"/>
    </row>
    <row r="194" spans="2:16" s="2441" customFormat="1" ht="18" customHeight="1">
      <c r="B194" s="267" t="s">
        <v>1719</v>
      </c>
      <c r="D194" s="579" t="s">
        <v>22</v>
      </c>
      <c r="E194" s="2445"/>
      <c r="F194" s="606">
        <f>F181</f>
        <v>6.8</v>
      </c>
      <c r="G194" s="584" t="s">
        <v>266</v>
      </c>
      <c r="H194" s="439">
        <f>+H174</f>
        <v>133</v>
      </c>
      <c r="I194" s="2441" t="s">
        <v>43</v>
      </c>
      <c r="M194" s="551" t="s">
        <v>14</v>
      </c>
      <c r="N194" s="2354">
        <f>F194*H194</f>
        <v>904.4</v>
      </c>
      <c r="O194" s="550" t="s">
        <v>43</v>
      </c>
      <c r="P194" s="377"/>
    </row>
    <row r="195" spans="2:16" s="2441" customFormat="1" ht="18" customHeight="1" thickBot="1">
      <c r="B195" s="2445"/>
      <c r="C195" s="2445"/>
      <c r="D195" s="2445"/>
      <c r="E195" s="2445"/>
      <c r="G195" s="583" t="s">
        <v>1785</v>
      </c>
      <c r="M195" s="551" t="s">
        <v>14</v>
      </c>
      <c r="N195" s="1282">
        <f>ROUNDDOWN(SUM(N192:N194),2)</f>
        <v>1429.43</v>
      </c>
      <c r="O195" s="550" t="s">
        <v>43</v>
      </c>
      <c r="P195" s="377"/>
    </row>
    <row r="196" spans="2:16" s="2441" customFormat="1" ht="18" customHeight="1" thickTop="1">
      <c r="B196" s="559" t="str">
        <f>+"14. "&amp;ปร.4_Roads!$C$148</f>
        <v>14. บ่อพักน้ำ คสล.ท่อกลมสี่ด้านเท่ากัน Dia.1.00 ม.</v>
      </c>
      <c r="C196" s="2445"/>
      <c r="D196" s="2445"/>
      <c r="E196" s="2445"/>
      <c r="M196" s="551"/>
      <c r="N196" s="447"/>
      <c r="O196" s="550"/>
      <c r="P196" s="377"/>
    </row>
    <row r="197" spans="2:16" s="2441" customFormat="1" ht="18" customHeight="1">
      <c r="B197" s="574" t="s">
        <v>2076</v>
      </c>
      <c r="C197" s="584"/>
      <c r="D197" s="599" t="s">
        <v>22</v>
      </c>
      <c r="E197" s="584"/>
      <c r="F197" s="606">
        <f>+บ่อพักน้ำใต้ทางเท้า!E42</f>
        <v>7.125</v>
      </c>
      <c r="G197" s="598" t="s">
        <v>477</v>
      </c>
      <c r="H197" s="2449">
        <f>+'S2'!$BF$33</f>
        <v>20.92</v>
      </c>
      <c r="I197" s="2441" t="s">
        <v>43</v>
      </c>
      <c r="M197" s="575" t="s">
        <v>14</v>
      </c>
      <c r="N197" s="2354">
        <f>+F197*H197</f>
        <v>149.05500000000001</v>
      </c>
      <c r="O197" s="574" t="s">
        <v>43</v>
      </c>
      <c r="P197" s="377"/>
    </row>
    <row r="198" spans="2:16" s="2441" customFormat="1" ht="18" customHeight="1">
      <c r="B198" s="598" t="s">
        <v>463</v>
      </c>
      <c r="C198" s="2445"/>
      <c r="D198" s="599" t="s">
        <v>22</v>
      </c>
      <c r="E198" s="2445"/>
      <c r="F198" s="405">
        <f>+บ่อพักน้ำใต้ทางเท้า!P42</f>
        <v>2.0980000000000003</v>
      </c>
      <c r="G198" s="598" t="s">
        <v>477</v>
      </c>
      <c r="H198" s="601">
        <f>+$K$102</f>
        <v>2372.0300000000002</v>
      </c>
      <c r="I198" s="2441" t="s">
        <v>43</v>
      </c>
      <c r="M198" s="575" t="s">
        <v>14</v>
      </c>
      <c r="N198" s="2354">
        <f>+F198*H198</f>
        <v>4976.5189400000008</v>
      </c>
      <c r="O198" s="574" t="s">
        <v>43</v>
      </c>
      <c r="P198" s="377"/>
    </row>
    <row r="199" spans="2:16" s="2441" customFormat="1" ht="18" customHeight="1">
      <c r="B199" s="598" t="s">
        <v>717</v>
      </c>
      <c r="C199" s="2445"/>
      <c r="D199" s="599" t="s">
        <v>22</v>
      </c>
      <c r="E199" s="2445"/>
      <c r="F199" s="405">
        <f>+บ่อพักน้ำใต้ทางเท้า!Q42</f>
        <v>0.14000000000000001</v>
      </c>
      <c r="G199" s="598" t="s">
        <v>477</v>
      </c>
      <c r="H199" s="601">
        <f>+$N$38</f>
        <v>2082</v>
      </c>
      <c r="I199" s="2441" t="s">
        <v>43</v>
      </c>
      <c r="M199" s="575" t="s">
        <v>14</v>
      </c>
      <c r="N199" s="2354">
        <f t="shared" ref="N199:N200" si="14">+F199*H199</f>
        <v>291.48</v>
      </c>
      <c r="O199" s="574" t="s">
        <v>43</v>
      </c>
      <c r="P199" s="377"/>
    </row>
    <row r="200" spans="2:16" s="2441" customFormat="1" ht="18" customHeight="1">
      <c r="B200" s="598" t="s">
        <v>392</v>
      </c>
      <c r="C200" s="2445"/>
      <c r="D200" s="599" t="s">
        <v>22</v>
      </c>
      <c r="E200" s="2445"/>
      <c r="F200" s="405">
        <f>+บ่อพักน้ำใต้ทางเท้า!R42</f>
        <v>0.28999999999999998</v>
      </c>
      <c r="G200" s="598" t="s">
        <v>477</v>
      </c>
      <c r="H200" s="601">
        <f>+H51+$N$13</f>
        <v>141.43</v>
      </c>
      <c r="I200" s="2441" t="s">
        <v>43</v>
      </c>
      <c r="M200" s="575" t="s">
        <v>14</v>
      </c>
      <c r="N200" s="2354">
        <f t="shared" si="14"/>
        <v>41.014699999999998</v>
      </c>
      <c r="O200" s="574" t="s">
        <v>43</v>
      </c>
      <c r="P200" s="377"/>
    </row>
    <row r="201" spans="2:16" s="2441" customFormat="1" ht="18" customHeight="1">
      <c r="B201" s="598" t="s">
        <v>464</v>
      </c>
      <c r="C201" s="2445"/>
      <c r="D201" s="599" t="s">
        <v>22</v>
      </c>
      <c r="E201" s="2445"/>
      <c r="F201" s="405">
        <f>+บ่อพักน้ำใต้ทางเท้า!O53</f>
        <v>6.8</v>
      </c>
      <c r="G201" s="598" t="s">
        <v>266</v>
      </c>
      <c r="H201" s="601">
        <f>+$K$103</f>
        <v>351.3</v>
      </c>
      <c r="I201" s="2441" t="s">
        <v>43</v>
      </c>
      <c r="M201" s="575" t="s">
        <v>14</v>
      </c>
      <c r="N201" s="2354">
        <f t="shared" ref="N201:N209" si="15">+F201*H201</f>
        <v>2388.84</v>
      </c>
      <c r="O201" s="574" t="s">
        <v>43</v>
      </c>
      <c r="P201" s="377"/>
    </row>
    <row r="202" spans="2:16" s="2441" customFormat="1" ht="18" customHeight="1">
      <c r="B202" s="598" t="s">
        <v>267</v>
      </c>
      <c r="C202" s="2445"/>
      <c r="D202" s="599" t="s">
        <v>22</v>
      </c>
      <c r="E202" s="2445"/>
      <c r="F202" s="405">
        <f>+F201*0.3</f>
        <v>2.04</v>
      </c>
      <c r="G202" s="598" t="s">
        <v>549</v>
      </c>
      <c r="H202" s="601">
        <f>+$K$104</f>
        <v>39.49</v>
      </c>
      <c r="I202" s="2441" t="s">
        <v>43</v>
      </c>
      <c r="M202" s="551" t="s">
        <v>14</v>
      </c>
      <c r="N202" s="2354">
        <f t="shared" si="15"/>
        <v>80.559600000000003</v>
      </c>
      <c r="O202" s="574" t="s">
        <v>43</v>
      </c>
      <c r="P202" s="377"/>
    </row>
    <row r="203" spans="2:16" s="2441" customFormat="1" ht="18" customHeight="1">
      <c r="B203" s="602" t="s">
        <v>462</v>
      </c>
      <c r="C203" s="2445"/>
      <c r="D203" s="599" t="s">
        <v>22</v>
      </c>
      <c r="E203" s="2445"/>
      <c r="F203" s="606">
        <f>+บ่อพักน้ำใต้ทางเท้า!R57</f>
        <v>1.35</v>
      </c>
      <c r="G203" s="598" t="s">
        <v>549</v>
      </c>
      <c r="H203" s="601">
        <f>+($H$16+$N$16*แหล่งวัสดุ!$U$69)/1000</f>
        <v>19.988179999999996</v>
      </c>
      <c r="I203" s="2441" t="s">
        <v>43</v>
      </c>
      <c r="M203" s="551" t="s">
        <v>14</v>
      </c>
      <c r="N203" s="2354">
        <f t="shared" si="15"/>
        <v>26.984042999999996</v>
      </c>
      <c r="O203" s="574" t="s">
        <v>43</v>
      </c>
      <c r="P203" s="377"/>
    </row>
    <row r="204" spans="2:16" s="2441" customFormat="1" ht="18" customHeight="1">
      <c r="B204" s="602" t="s">
        <v>461</v>
      </c>
      <c r="C204" s="2445"/>
      <c r="D204" s="599" t="s">
        <v>22</v>
      </c>
      <c r="E204" s="2445"/>
      <c r="F204" s="606">
        <f>+บ่อพักน้ำใต้ทางเท้า!L54</f>
        <v>87.18</v>
      </c>
      <c r="G204" s="598" t="s">
        <v>549</v>
      </c>
      <c r="H204" s="601">
        <f>+$H$117</f>
        <v>19.310789999999997</v>
      </c>
      <c r="I204" s="2441" t="s">
        <v>43</v>
      </c>
      <c r="M204" s="551" t="s">
        <v>14</v>
      </c>
      <c r="N204" s="2354">
        <f t="shared" si="15"/>
        <v>1683.5146721999999</v>
      </c>
      <c r="O204" s="574" t="s">
        <v>43</v>
      </c>
      <c r="P204" s="377"/>
    </row>
    <row r="205" spans="2:16" s="2441" customFormat="1" ht="18" customHeight="1">
      <c r="B205" s="602" t="s">
        <v>662</v>
      </c>
      <c r="C205" s="2445"/>
      <c r="D205" s="599" t="s">
        <v>22</v>
      </c>
      <c r="E205" s="2445"/>
      <c r="F205" s="606">
        <f>+บ่อพักน้ำใต้ทางเท้า!L55</f>
        <v>9.06</v>
      </c>
      <c r="G205" s="598" t="s">
        <v>549</v>
      </c>
      <c r="H205" s="601">
        <f>+$H$116</f>
        <v>19.132069999999999</v>
      </c>
      <c r="I205" s="2441" t="s">
        <v>43</v>
      </c>
      <c r="M205" s="551" t="s">
        <v>14</v>
      </c>
      <c r="N205" s="2354">
        <f t="shared" si="15"/>
        <v>173.33655419999999</v>
      </c>
      <c r="O205" s="574" t="s">
        <v>43</v>
      </c>
      <c r="P205" s="377"/>
    </row>
    <row r="206" spans="2:16" s="2441" customFormat="1" ht="18" customHeight="1">
      <c r="B206" s="602" t="s">
        <v>2126</v>
      </c>
      <c r="C206" s="2445"/>
      <c r="D206" s="599" t="s">
        <v>22</v>
      </c>
      <c r="E206" s="2445"/>
      <c r="F206" s="606">
        <f>+บ่อพักน้ำใต้ทางเท้า!R56</f>
        <v>16.899999999999999</v>
      </c>
      <c r="G206" s="598" t="s">
        <v>549</v>
      </c>
      <c r="H206" s="601">
        <f>+($H$20+$N$20*แหล่งวัสดุ!$U$69)/1000</f>
        <v>19.611969999999996</v>
      </c>
      <c r="I206" s="2441" t="s">
        <v>43</v>
      </c>
      <c r="M206" s="551" t="s">
        <v>14</v>
      </c>
      <c r="N206" s="2354">
        <f t="shared" si="15"/>
        <v>331.44229299999989</v>
      </c>
      <c r="O206" s="574" t="s">
        <v>43</v>
      </c>
      <c r="P206" s="377"/>
    </row>
    <row r="207" spans="2:16" s="2441" customFormat="1" ht="18" customHeight="1">
      <c r="B207" s="602" t="s">
        <v>2127</v>
      </c>
      <c r="C207" s="2445"/>
      <c r="D207" s="599" t="s">
        <v>22</v>
      </c>
      <c r="E207" s="2445"/>
      <c r="F207" s="606">
        <f>+บ่อพักน้ำใต้ทางเท้า!R55</f>
        <v>8.0299999999999994</v>
      </c>
      <c r="G207" s="598" t="s">
        <v>549</v>
      </c>
      <c r="H207" s="601">
        <f>+($H$21+$N$21*แหล่งวัสดุ!$U$69)/1000</f>
        <v>18.758230000000001</v>
      </c>
      <c r="I207" s="2441" t="s">
        <v>43</v>
      </c>
      <c r="M207" s="551" t="s">
        <v>14</v>
      </c>
      <c r="N207" s="2354">
        <f t="shared" si="15"/>
        <v>150.62858689999999</v>
      </c>
      <c r="O207" s="574" t="s">
        <v>43</v>
      </c>
      <c r="P207" s="377"/>
    </row>
    <row r="208" spans="2:16" s="2441" customFormat="1" ht="18" customHeight="1">
      <c r="B208" s="602" t="s">
        <v>2128</v>
      </c>
      <c r="C208" s="2445"/>
      <c r="D208" s="599" t="s">
        <v>22</v>
      </c>
      <c r="E208" s="2445"/>
      <c r="F208" s="606">
        <f>+บ่อพักน้ำใต้ทางเท้า!L56</f>
        <v>0</v>
      </c>
      <c r="G208" s="598" t="s">
        <v>549</v>
      </c>
      <c r="H208" s="601">
        <f>+($H$19+$N$19*แหล่งวัสดุ!$U$69)/1000</f>
        <v>19.505559999999999</v>
      </c>
      <c r="I208" s="2441" t="s">
        <v>43</v>
      </c>
      <c r="M208" s="551" t="s">
        <v>14</v>
      </c>
      <c r="N208" s="2354">
        <f t="shared" si="15"/>
        <v>0</v>
      </c>
      <c r="O208" s="574" t="s">
        <v>43</v>
      </c>
      <c r="P208" s="377"/>
    </row>
    <row r="209" spans="2:16" s="2441" customFormat="1" ht="18" customHeight="1">
      <c r="B209" s="602" t="s">
        <v>265</v>
      </c>
      <c r="C209" s="2445"/>
      <c r="D209" s="599" t="s">
        <v>22</v>
      </c>
      <c r="E209" s="2445"/>
      <c r="F209" s="1280">
        <f>ROUND(SUM(F203:F208)*0.025,2)</f>
        <v>3.06</v>
      </c>
      <c r="G209" s="598" t="s">
        <v>549</v>
      </c>
      <c r="H209" s="601">
        <f>+$K$107</f>
        <v>46.73</v>
      </c>
      <c r="I209" s="2441" t="s">
        <v>43</v>
      </c>
      <c r="M209" s="551" t="s">
        <v>14</v>
      </c>
      <c r="N209" s="2354">
        <f t="shared" si="15"/>
        <v>142.99379999999999</v>
      </c>
      <c r="O209" s="574" t="s">
        <v>43</v>
      </c>
      <c r="P209" s="377"/>
    </row>
    <row r="210" spans="2:16" s="2441" customFormat="1" ht="18" customHeight="1">
      <c r="B210" s="550" t="s">
        <v>2129</v>
      </c>
      <c r="C210" s="2445"/>
      <c r="D210" s="599" t="s">
        <v>22</v>
      </c>
      <c r="E210" s="2445"/>
      <c r="F210" s="405">
        <f>+บ่อพักน้ำใต้ทางเท้า!O54*41.5/6</f>
        <v>61.420000000000009</v>
      </c>
      <c r="G210" s="598" t="s">
        <v>549</v>
      </c>
      <c r="H210" s="601">
        <f>+($H$22+$N$22*แหล่งวัสดุ!$U$69)/1000</f>
        <v>18.090009999999999</v>
      </c>
      <c r="I210" s="2441" t="s">
        <v>43</v>
      </c>
      <c r="M210" s="551" t="s">
        <v>14</v>
      </c>
      <c r="N210" s="2354">
        <f>+F210*H210</f>
        <v>1111.0884142000002</v>
      </c>
      <c r="O210" s="574" t="s">
        <v>43</v>
      </c>
      <c r="P210" s="377"/>
    </row>
    <row r="211" spans="2:16" s="2441" customFormat="1" ht="18" customHeight="1" thickBot="1">
      <c r="B211" s="2744"/>
      <c r="C211" s="2744"/>
      <c r="D211" s="2744"/>
      <c r="E211" s="2744"/>
      <c r="G211" s="583" t="s">
        <v>705</v>
      </c>
      <c r="M211" s="551" t="s">
        <v>14</v>
      </c>
      <c r="N211" s="1282">
        <f>ROUNDDOWN(SUM(N197:N210),2)</f>
        <v>11547.45</v>
      </c>
      <c r="O211" s="550" t="s">
        <v>43</v>
      </c>
      <c r="P211" s="377"/>
    </row>
    <row r="212" spans="2:16" s="2441" customFormat="1" ht="18" customHeight="1" thickTop="1">
      <c r="B212" s="507" t="s">
        <v>2055</v>
      </c>
      <c r="D212" s="579" t="s">
        <v>22</v>
      </c>
      <c r="E212" s="2445"/>
      <c r="F212" s="606">
        <f>SUM(F205:F208)</f>
        <v>33.99</v>
      </c>
      <c r="G212" s="584" t="s">
        <v>264</v>
      </c>
      <c r="H212" s="2389">
        <f>+แหล่งวัสดุ!$V$33/1000</f>
        <v>3.3</v>
      </c>
      <c r="I212" s="2441" t="s">
        <v>43</v>
      </c>
      <c r="M212" s="551" t="s">
        <v>14</v>
      </c>
      <c r="N212" s="2354">
        <f>F212*H212</f>
        <v>112.167</v>
      </c>
      <c r="O212" s="550" t="s">
        <v>43</v>
      </c>
      <c r="P212" s="377"/>
    </row>
    <row r="213" spans="2:16" s="2441" customFormat="1" ht="18" customHeight="1">
      <c r="B213" s="507" t="s">
        <v>2054</v>
      </c>
      <c r="D213" s="579" t="s">
        <v>22</v>
      </c>
      <c r="E213" s="2445"/>
      <c r="F213" s="606">
        <f>+F203+F204</f>
        <v>88.53</v>
      </c>
      <c r="G213" s="584" t="s">
        <v>264</v>
      </c>
      <c r="H213" s="2389">
        <f>+แหล่งวัสดุ!$V$32/1000</f>
        <v>4.0999999999999996</v>
      </c>
      <c r="I213" s="2441" t="s">
        <v>43</v>
      </c>
      <c r="M213" s="551" t="s">
        <v>14</v>
      </c>
      <c r="N213" s="2354">
        <f>F213*H213</f>
        <v>362.97299999999996</v>
      </c>
      <c r="O213" s="550" t="s">
        <v>43</v>
      </c>
      <c r="P213" s="377"/>
    </row>
    <row r="214" spans="2:16" s="2441" customFormat="1" ht="18" customHeight="1">
      <c r="B214" s="267" t="s">
        <v>1719</v>
      </c>
      <c r="D214" s="579" t="s">
        <v>22</v>
      </c>
      <c r="E214" s="2445"/>
      <c r="F214" s="606">
        <f>F201</f>
        <v>6.8</v>
      </c>
      <c r="G214" s="584" t="s">
        <v>266</v>
      </c>
      <c r="H214" s="439">
        <f>+H194</f>
        <v>133</v>
      </c>
      <c r="I214" s="2441" t="s">
        <v>43</v>
      </c>
      <c r="M214" s="551" t="s">
        <v>14</v>
      </c>
      <c r="N214" s="2354">
        <f>F214*H214</f>
        <v>904.4</v>
      </c>
      <c r="O214" s="550" t="s">
        <v>43</v>
      </c>
      <c r="P214" s="377"/>
    </row>
    <row r="215" spans="2:16" s="2441" customFormat="1" ht="18" customHeight="1" thickBot="1">
      <c r="B215" s="2445"/>
      <c r="C215" s="2445"/>
      <c r="D215" s="2445"/>
      <c r="E215" s="2445"/>
      <c r="G215" s="583" t="s">
        <v>1785</v>
      </c>
      <c r="M215" s="551" t="s">
        <v>14</v>
      </c>
      <c r="N215" s="1282">
        <f>ROUNDDOWN(SUM(N212:N214),2)</f>
        <v>1379.54</v>
      </c>
      <c r="O215" s="550" t="s">
        <v>43</v>
      </c>
      <c r="P215" s="377"/>
    </row>
    <row r="216" spans="2:16" s="2441" customFormat="1" ht="18" customHeight="1" thickTop="1">
      <c r="B216" s="559" t="str">
        <f>+"15. "&amp;ปร.4_Roads!$C$149</f>
        <v>15. บ่อพักน้ำ คสล.ท่อกลมด้านเดียว Dia.1.00 ม.</v>
      </c>
      <c r="C216" s="2445"/>
      <c r="D216" s="2445"/>
      <c r="E216" s="2445"/>
      <c r="M216" s="551"/>
      <c r="N216" s="447"/>
      <c r="O216" s="550"/>
      <c r="P216" s="377"/>
    </row>
    <row r="217" spans="2:16" s="2441" customFormat="1" ht="18" customHeight="1">
      <c r="B217" s="574" t="s">
        <v>2076</v>
      </c>
      <c r="C217" s="584"/>
      <c r="D217" s="599" t="s">
        <v>22</v>
      </c>
      <c r="E217" s="584"/>
      <c r="F217" s="606">
        <f>+บ่อพักน้ำใต้ทางเท้า!E61</f>
        <v>7.125</v>
      </c>
      <c r="G217" s="598" t="s">
        <v>477</v>
      </c>
      <c r="H217" s="2449">
        <f>+'S2'!$BF$33</f>
        <v>20.92</v>
      </c>
      <c r="I217" s="2441" t="s">
        <v>43</v>
      </c>
      <c r="M217" s="575" t="s">
        <v>14</v>
      </c>
      <c r="N217" s="2354">
        <f>+F217*H217</f>
        <v>149.05500000000001</v>
      </c>
      <c r="O217" s="574" t="s">
        <v>43</v>
      </c>
      <c r="P217" s="377"/>
    </row>
    <row r="218" spans="2:16" s="2441" customFormat="1" ht="18" customHeight="1">
      <c r="B218" s="598" t="s">
        <v>463</v>
      </c>
      <c r="C218" s="2445"/>
      <c r="D218" s="599" t="s">
        <v>22</v>
      </c>
      <c r="E218" s="2445"/>
      <c r="F218" s="405">
        <f>+บ่อพักน้ำใต้ทางเท้า!P61</f>
        <v>2.298</v>
      </c>
      <c r="G218" s="598" t="s">
        <v>477</v>
      </c>
      <c r="H218" s="601">
        <f>+$K$102</f>
        <v>2372.0300000000002</v>
      </c>
      <c r="I218" s="2441" t="s">
        <v>43</v>
      </c>
      <c r="K218" s="2449"/>
      <c r="M218" s="575" t="s">
        <v>14</v>
      </c>
      <c r="N218" s="2354">
        <f>+F218*H218</f>
        <v>5450.9249400000008</v>
      </c>
      <c r="O218" s="574" t="s">
        <v>43</v>
      </c>
      <c r="P218" s="377"/>
    </row>
    <row r="219" spans="2:16" s="2441" customFormat="1" ht="18" customHeight="1">
      <c r="B219" s="598" t="s">
        <v>717</v>
      </c>
      <c r="C219" s="2445"/>
      <c r="D219" s="599" t="s">
        <v>22</v>
      </c>
      <c r="E219" s="2445"/>
      <c r="F219" s="405">
        <f>+บ่อพักน้ำใต้ทางเท้า!Q61</f>
        <v>0.14000000000000001</v>
      </c>
      <c r="G219" s="598" t="s">
        <v>477</v>
      </c>
      <c r="H219" s="601">
        <f>+$N$38</f>
        <v>2082</v>
      </c>
      <c r="I219" s="2441" t="s">
        <v>43</v>
      </c>
      <c r="M219" s="575" t="s">
        <v>14</v>
      </c>
      <c r="N219" s="2354">
        <f t="shared" ref="N219:N220" si="16">+F219*H219</f>
        <v>291.48</v>
      </c>
      <c r="O219" s="574" t="s">
        <v>43</v>
      </c>
      <c r="P219" s="377"/>
    </row>
    <row r="220" spans="2:16" s="2441" customFormat="1" ht="18" customHeight="1">
      <c r="B220" s="598" t="s">
        <v>392</v>
      </c>
      <c r="C220" s="2445"/>
      <c r="D220" s="599" t="s">
        <v>22</v>
      </c>
      <c r="E220" s="2445"/>
      <c r="F220" s="405">
        <f>+บ่อพักน้ำใต้ทางเท้า!R61</f>
        <v>0.28999999999999998</v>
      </c>
      <c r="G220" s="598" t="s">
        <v>477</v>
      </c>
      <c r="H220" s="601">
        <f>+H70+$N$13</f>
        <v>141.43</v>
      </c>
      <c r="I220" s="2441" t="s">
        <v>43</v>
      </c>
      <c r="M220" s="575" t="s">
        <v>14</v>
      </c>
      <c r="N220" s="2354">
        <f t="shared" si="16"/>
        <v>41.014699999999998</v>
      </c>
      <c r="O220" s="574" t="s">
        <v>43</v>
      </c>
      <c r="P220" s="377"/>
    </row>
    <row r="221" spans="2:16" s="2441" customFormat="1" ht="18" customHeight="1">
      <c r="B221" s="598" t="s">
        <v>464</v>
      </c>
      <c r="C221" s="2445"/>
      <c r="D221" s="599" t="s">
        <v>22</v>
      </c>
      <c r="E221" s="2445"/>
      <c r="F221" s="405">
        <f>+บ่อพักน้ำใต้ทางเท้า!O72</f>
        <v>6.8</v>
      </c>
      <c r="G221" s="598" t="s">
        <v>266</v>
      </c>
      <c r="H221" s="601">
        <f>+$K$103</f>
        <v>351.3</v>
      </c>
      <c r="I221" s="2441" t="s">
        <v>43</v>
      </c>
      <c r="K221" s="2449"/>
      <c r="M221" s="575" t="s">
        <v>14</v>
      </c>
      <c r="N221" s="2354">
        <f t="shared" ref="N221:N229" si="17">+F221*H221</f>
        <v>2388.84</v>
      </c>
      <c r="O221" s="574" t="s">
        <v>43</v>
      </c>
      <c r="P221" s="377"/>
    </row>
    <row r="222" spans="2:16" s="2441" customFormat="1" ht="18" customHeight="1">
      <c r="B222" s="598" t="s">
        <v>267</v>
      </c>
      <c r="C222" s="2445"/>
      <c r="D222" s="599" t="s">
        <v>22</v>
      </c>
      <c r="E222" s="2445"/>
      <c r="F222" s="405">
        <f>+F221*0.3</f>
        <v>2.04</v>
      </c>
      <c r="G222" s="598" t="s">
        <v>549</v>
      </c>
      <c r="H222" s="601">
        <f>+$K$104</f>
        <v>39.49</v>
      </c>
      <c r="I222" s="2441" t="s">
        <v>43</v>
      </c>
      <c r="K222" s="2449"/>
      <c r="M222" s="551" t="s">
        <v>14</v>
      </c>
      <c r="N222" s="2354">
        <f t="shared" si="17"/>
        <v>80.559600000000003</v>
      </c>
      <c r="O222" s="574" t="s">
        <v>43</v>
      </c>
      <c r="P222" s="377"/>
    </row>
    <row r="223" spans="2:16" s="2441" customFormat="1" ht="18" customHeight="1">
      <c r="B223" s="602" t="s">
        <v>462</v>
      </c>
      <c r="C223" s="2445"/>
      <c r="D223" s="599" t="s">
        <v>22</v>
      </c>
      <c r="E223" s="2445"/>
      <c r="F223" s="606">
        <f>+บ่อพักน้ำใต้ทางเท้า!R76</f>
        <v>1.35</v>
      </c>
      <c r="G223" s="598" t="s">
        <v>549</v>
      </c>
      <c r="H223" s="601">
        <f>+($H$16+$N$16*แหล่งวัสดุ!$U$69)/1000</f>
        <v>19.988179999999996</v>
      </c>
      <c r="I223" s="2441" t="s">
        <v>43</v>
      </c>
      <c r="K223" s="2449"/>
      <c r="M223" s="551" t="s">
        <v>14</v>
      </c>
      <c r="N223" s="2354">
        <f t="shared" si="17"/>
        <v>26.984042999999996</v>
      </c>
      <c r="O223" s="574" t="s">
        <v>43</v>
      </c>
      <c r="P223" s="377"/>
    </row>
    <row r="224" spans="2:16" s="2441" customFormat="1" ht="18" customHeight="1">
      <c r="B224" s="602" t="s">
        <v>461</v>
      </c>
      <c r="C224" s="2445"/>
      <c r="D224" s="599" t="s">
        <v>22</v>
      </c>
      <c r="E224" s="2445"/>
      <c r="F224" s="606">
        <f>+บ่อพักน้ำใต้ทางเท้า!L73</f>
        <v>123.7</v>
      </c>
      <c r="G224" s="598" t="s">
        <v>549</v>
      </c>
      <c r="H224" s="601">
        <f>+$H$117</f>
        <v>19.310789999999997</v>
      </c>
      <c r="I224" s="2441" t="s">
        <v>43</v>
      </c>
      <c r="K224" s="2449"/>
      <c r="M224" s="551" t="s">
        <v>14</v>
      </c>
      <c r="N224" s="2354">
        <f t="shared" si="17"/>
        <v>2388.7447229999998</v>
      </c>
      <c r="O224" s="574" t="s">
        <v>43</v>
      </c>
      <c r="P224" s="377"/>
    </row>
    <row r="225" spans="2:33" s="2441" customFormat="1" ht="18" customHeight="1">
      <c r="B225" s="602" t="s">
        <v>662</v>
      </c>
      <c r="C225" s="2445"/>
      <c r="D225" s="599" t="s">
        <v>22</v>
      </c>
      <c r="E225" s="2445"/>
      <c r="F225" s="606">
        <f>+บ่อพักน้ำใต้ทางเท้า!L74</f>
        <v>9.06</v>
      </c>
      <c r="G225" s="598" t="s">
        <v>549</v>
      </c>
      <c r="H225" s="601">
        <f>+$H$116</f>
        <v>19.132069999999999</v>
      </c>
      <c r="I225" s="2441" t="s">
        <v>43</v>
      </c>
      <c r="K225" s="2449"/>
      <c r="M225" s="551" t="s">
        <v>14</v>
      </c>
      <c r="N225" s="2354">
        <f t="shared" si="17"/>
        <v>173.33655419999999</v>
      </c>
      <c r="O225" s="574" t="s">
        <v>43</v>
      </c>
      <c r="P225" s="377"/>
    </row>
    <row r="226" spans="2:33" s="2441" customFormat="1" ht="18" customHeight="1">
      <c r="B226" s="602" t="s">
        <v>2126</v>
      </c>
      <c r="C226" s="2445"/>
      <c r="D226" s="599" t="s">
        <v>22</v>
      </c>
      <c r="E226" s="2445"/>
      <c r="F226" s="606">
        <f>+บ่อพักน้ำใต้ทางเท้า!R75</f>
        <v>16.899999999999999</v>
      </c>
      <c r="G226" s="598" t="s">
        <v>549</v>
      </c>
      <c r="H226" s="601">
        <f>+($H$20+$N$20*แหล่งวัสดุ!$U$69)/1000</f>
        <v>19.611969999999996</v>
      </c>
      <c r="I226" s="2441" t="s">
        <v>43</v>
      </c>
      <c r="K226" s="2449"/>
      <c r="M226" s="551" t="s">
        <v>14</v>
      </c>
      <c r="N226" s="2354">
        <f t="shared" si="17"/>
        <v>331.44229299999989</v>
      </c>
      <c r="O226" s="574" t="s">
        <v>43</v>
      </c>
      <c r="P226" s="377"/>
    </row>
    <row r="227" spans="2:33" s="2441" customFormat="1" ht="18" customHeight="1">
      <c r="B227" s="602" t="s">
        <v>2127</v>
      </c>
      <c r="C227" s="2445"/>
      <c r="D227" s="599" t="s">
        <v>22</v>
      </c>
      <c r="E227" s="2445"/>
      <c r="F227" s="606">
        <f>+บ่อพักน้ำใต้ทางเท้า!R74</f>
        <v>8.0299999999999994</v>
      </c>
      <c r="G227" s="598" t="s">
        <v>549</v>
      </c>
      <c r="H227" s="601">
        <f>+($H$21+$N$21*แหล่งวัสดุ!$U$69)/1000</f>
        <v>18.758230000000001</v>
      </c>
      <c r="I227" s="2441" t="s">
        <v>43</v>
      </c>
      <c r="K227" s="2449"/>
      <c r="M227" s="551" t="s">
        <v>14</v>
      </c>
      <c r="N227" s="2354">
        <f t="shared" si="17"/>
        <v>150.62858689999999</v>
      </c>
      <c r="O227" s="574" t="s">
        <v>43</v>
      </c>
      <c r="P227" s="377"/>
    </row>
    <row r="228" spans="2:33" s="2441" customFormat="1" ht="18" customHeight="1">
      <c r="B228" s="602" t="s">
        <v>2128</v>
      </c>
      <c r="C228" s="2445"/>
      <c r="D228" s="599" t="s">
        <v>22</v>
      </c>
      <c r="E228" s="2445"/>
      <c r="F228" s="606">
        <f>+บ่อพักน้ำใต้ทางเท้า!L75</f>
        <v>0</v>
      </c>
      <c r="G228" s="598" t="s">
        <v>549</v>
      </c>
      <c r="H228" s="601">
        <f>+($H$19+$N$19*แหล่งวัสดุ!$U$69)/1000</f>
        <v>19.505559999999999</v>
      </c>
      <c r="I228" s="2441" t="s">
        <v>43</v>
      </c>
      <c r="K228" s="2449"/>
      <c r="M228" s="551" t="s">
        <v>14</v>
      </c>
      <c r="N228" s="2354">
        <f t="shared" si="17"/>
        <v>0</v>
      </c>
      <c r="O228" s="574" t="s">
        <v>43</v>
      </c>
      <c r="P228" s="377"/>
    </row>
    <row r="229" spans="2:33" s="2441" customFormat="1" ht="18" customHeight="1">
      <c r="B229" s="602" t="s">
        <v>265</v>
      </c>
      <c r="C229" s="2445"/>
      <c r="D229" s="599" t="s">
        <v>22</v>
      </c>
      <c r="E229" s="2445"/>
      <c r="F229" s="1280">
        <f>ROUND(SUM(F223:F228)*0.025,2)</f>
        <v>3.98</v>
      </c>
      <c r="G229" s="598" t="s">
        <v>549</v>
      </c>
      <c r="H229" s="601">
        <f>+$K$107</f>
        <v>46.73</v>
      </c>
      <c r="I229" s="2441" t="s">
        <v>43</v>
      </c>
      <c r="K229" s="2449"/>
      <c r="M229" s="551" t="s">
        <v>14</v>
      </c>
      <c r="N229" s="2354">
        <f t="shared" si="17"/>
        <v>185.9854</v>
      </c>
      <c r="O229" s="574" t="s">
        <v>43</v>
      </c>
      <c r="P229" s="377"/>
    </row>
    <row r="230" spans="2:33" s="2441" customFormat="1" ht="18" customHeight="1">
      <c r="B230" s="550" t="s">
        <v>2129</v>
      </c>
      <c r="C230" s="2445"/>
      <c r="D230" s="599" t="s">
        <v>22</v>
      </c>
      <c r="E230" s="2445"/>
      <c r="F230" s="405">
        <f>+บ่อพักน้ำใต้ทางเท้า!O73*41.5/6</f>
        <v>61.420000000000009</v>
      </c>
      <c r="G230" s="598" t="s">
        <v>549</v>
      </c>
      <c r="H230" s="601">
        <f>+($H$22+$N$22*แหล่งวัสดุ!$U$69)/1000</f>
        <v>18.090009999999999</v>
      </c>
      <c r="I230" s="2441" t="s">
        <v>43</v>
      </c>
      <c r="K230" s="2449"/>
      <c r="M230" s="551" t="s">
        <v>14</v>
      </c>
      <c r="N230" s="2354">
        <f>+F230*H230</f>
        <v>1111.0884142000002</v>
      </c>
      <c r="O230" s="574" t="s">
        <v>43</v>
      </c>
      <c r="P230" s="377"/>
    </row>
    <row r="231" spans="2:33" s="2441" customFormat="1" ht="18" customHeight="1" thickBot="1">
      <c r="B231" s="2744"/>
      <c r="C231" s="2744"/>
      <c r="D231" s="2744"/>
      <c r="E231" s="2744"/>
      <c r="G231" s="583" t="s">
        <v>705</v>
      </c>
      <c r="M231" s="551" t="s">
        <v>14</v>
      </c>
      <c r="N231" s="1282">
        <f>ROUNDDOWN(SUM(N217:N230),2)</f>
        <v>12770.08</v>
      </c>
      <c r="O231" s="550" t="s">
        <v>43</v>
      </c>
      <c r="P231" s="377"/>
    </row>
    <row r="232" spans="2:33" s="2441" customFormat="1" ht="18" customHeight="1" thickTop="1">
      <c r="B232" s="507" t="s">
        <v>2055</v>
      </c>
      <c r="D232" s="579" t="s">
        <v>22</v>
      </c>
      <c r="E232" s="2445"/>
      <c r="F232" s="405">
        <f>SUM(F225:F228)</f>
        <v>33.99</v>
      </c>
      <c r="G232" s="584" t="s">
        <v>264</v>
      </c>
      <c r="H232" s="2389">
        <f>+แหล่งวัสดุ!$V$33/1000</f>
        <v>3.3</v>
      </c>
      <c r="I232" s="2441" t="s">
        <v>43</v>
      </c>
      <c r="M232" s="551" t="s">
        <v>14</v>
      </c>
      <c r="N232" s="2354">
        <f>F232*H232</f>
        <v>112.167</v>
      </c>
      <c r="O232" s="550" t="s">
        <v>43</v>
      </c>
      <c r="P232" s="377"/>
    </row>
    <row r="233" spans="2:33" s="2441" customFormat="1" ht="18" customHeight="1">
      <c r="B233" s="507" t="s">
        <v>2054</v>
      </c>
      <c r="D233" s="579" t="s">
        <v>22</v>
      </c>
      <c r="E233" s="2445"/>
      <c r="F233" s="405">
        <f>+F223+F224</f>
        <v>125.05</v>
      </c>
      <c r="G233" s="584" t="s">
        <v>264</v>
      </c>
      <c r="H233" s="2389">
        <f>+แหล่งวัสดุ!$V$32/1000</f>
        <v>4.0999999999999996</v>
      </c>
      <c r="I233" s="2441" t="s">
        <v>43</v>
      </c>
      <c r="M233" s="551" t="s">
        <v>14</v>
      </c>
      <c r="N233" s="2354">
        <f>F233*H233</f>
        <v>512.70499999999993</v>
      </c>
      <c r="O233" s="550" t="s">
        <v>43</v>
      </c>
      <c r="P233" s="377"/>
    </row>
    <row r="234" spans="2:33" s="2441" customFormat="1" ht="18" customHeight="1">
      <c r="B234" s="267" t="s">
        <v>1719</v>
      </c>
      <c r="D234" s="579" t="s">
        <v>22</v>
      </c>
      <c r="E234" s="2445"/>
      <c r="F234" s="405">
        <f>F221</f>
        <v>6.8</v>
      </c>
      <c r="G234" s="584" t="s">
        <v>266</v>
      </c>
      <c r="H234" s="439">
        <f>+H214</f>
        <v>133</v>
      </c>
      <c r="I234" s="2441" t="s">
        <v>43</v>
      </c>
      <c r="M234" s="551" t="s">
        <v>14</v>
      </c>
      <c r="N234" s="2354">
        <f>F234*H234</f>
        <v>904.4</v>
      </c>
      <c r="O234" s="550" t="s">
        <v>43</v>
      </c>
      <c r="P234" s="377"/>
    </row>
    <row r="235" spans="2:33" s="2441" customFormat="1" ht="18" customHeight="1" thickBot="1">
      <c r="B235" s="2445"/>
      <c r="C235" s="2445"/>
      <c r="D235" s="2445"/>
      <c r="E235" s="2445"/>
      <c r="G235" s="583" t="s">
        <v>1785</v>
      </c>
      <c r="M235" s="551" t="s">
        <v>14</v>
      </c>
      <c r="N235" s="1282">
        <f>ROUNDDOWN(SUM(N232:N234),2)</f>
        <v>1529.27</v>
      </c>
      <c r="O235" s="550" t="s">
        <v>43</v>
      </c>
      <c r="P235" s="377"/>
    </row>
    <row r="236" spans="2:33" s="352" customFormat="1" ht="18" customHeight="1" thickTop="1">
      <c r="B236" s="603"/>
      <c r="C236" s="603"/>
      <c r="D236" s="603"/>
      <c r="E236" s="603"/>
      <c r="G236" s="583"/>
      <c r="M236" s="551"/>
      <c r="N236" s="1573"/>
      <c r="O236" s="550"/>
      <c r="P236" s="377"/>
    </row>
    <row r="237" spans="2:33" ht="18.95" customHeight="1">
      <c r="B237" s="546" t="s">
        <v>19</v>
      </c>
      <c r="H237" s="269"/>
      <c r="I237" s="269"/>
      <c r="J237" s="533"/>
      <c r="K237" s="531"/>
      <c r="L237" s="269"/>
      <c r="M237" s="535"/>
      <c r="N237" s="534"/>
      <c r="O237" s="269"/>
      <c r="P237" s="269"/>
    </row>
    <row r="238" spans="2:33" ht="18.95" customHeight="1">
      <c r="B238" s="434" t="s">
        <v>359</v>
      </c>
      <c r="F238" s="547">
        <f>+'3.ต้นทุนวางท่อ'!F168</f>
        <v>23.5</v>
      </c>
      <c r="G238" s="434" t="s">
        <v>20</v>
      </c>
      <c r="H238" s="269"/>
      <c r="I238" s="269"/>
      <c r="J238" s="533"/>
      <c r="K238" s="531"/>
      <c r="L238" s="269"/>
      <c r="M238" s="535"/>
      <c r="N238" s="534"/>
      <c r="O238" s="269"/>
      <c r="P238" s="269"/>
    </row>
    <row r="239" spans="2:33" s="434" customFormat="1" ht="18.95" customHeight="1">
      <c r="B239" s="434" t="s">
        <v>413</v>
      </c>
      <c r="F239" s="2743" t="str">
        <f>+'3.ต้นทุนวางท่อ'!F169:G169</f>
        <v>ฝนตกชุก 1</v>
      </c>
      <c r="G239" s="2743"/>
      <c r="P239" s="271"/>
      <c r="Q239" s="271"/>
      <c r="R239" s="485"/>
      <c r="S239" s="271"/>
      <c r="T239" s="271"/>
      <c r="U239" s="271"/>
      <c r="V239" s="271"/>
      <c r="W239" s="271"/>
      <c r="X239" s="271"/>
      <c r="Y239" s="271"/>
      <c r="Z239" s="271"/>
      <c r="AA239" s="271"/>
      <c r="AB239" s="271"/>
      <c r="AC239" s="271"/>
      <c r="AD239" s="271"/>
      <c r="AE239" s="271"/>
      <c r="AF239" s="271"/>
      <c r="AG239" s="268"/>
    </row>
    <row r="241" s="171" customFormat="1" ht="18.95" customHeight="1"/>
    <row r="242" s="171" customFormat="1" ht="18.95" customHeight="1"/>
    <row r="243" s="171" customFormat="1" ht="18.95" customHeight="1"/>
    <row r="244" s="171" customFormat="1" ht="18.95" customHeight="1"/>
    <row r="245" s="171" customFormat="1" ht="18.95" customHeight="1"/>
    <row r="246" s="171" customFormat="1" ht="18.95" customHeight="1"/>
    <row r="247" s="171" customFormat="1" ht="18.95" customHeight="1"/>
    <row r="248" s="171" customFormat="1" ht="18.95" customHeight="1"/>
    <row r="249" s="171" customFormat="1" ht="18.95" customHeight="1"/>
    <row r="250" s="171" customFormat="1" ht="18.95" customHeight="1"/>
    <row r="251" s="171" customFormat="1" ht="18.95" customHeight="1"/>
    <row r="252" s="171" customFormat="1" ht="18.95" customHeight="1"/>
    <row r="253" s="171" customFormat="1" ht="18.95" customHeight="1"/>
    <row r="254" s="171" customFormat="1" ht="18.95" customHeight="1"/>
    <row r="255" s="171" customFormat="1" ht="18.95" customHeight="1"/>
    <row r="256" s="171" customFormat="1" ht="18.95" customHeight="1"/>
    <row r="257" s="171" customFormat="1" ht="18.95" customHeight="1"/>
    <row r="258" s="171" customFormat="1" ht="18.95" customHeight="1"/>
    <row r="259" s="171" customFormat="1" ht="18.95" customHeight="1"/>
    <row r="260" s="171" customFormat="1" ht="18.95" customHeight="1"/>
    <row r="261" s="171" customFormat="1" ht="18.95" customHeight="1"/>
    <row r="262" s="171" customFormat="1" ht="18.95" customHeight="1"/>
    <row r="263" s="171" customFormat="1" ht="18.95" customHeight="1"/>
    <row r="264" s="171" customFormat="1" ht="18.95" customHeight="1"/>
    <row r="265" s="171" customFormat="1" ht="18.95" customHeight="1"/>
    <row r="266" s="171" customFormat="1" ht="18.95" customHeight="1"/>
    <row r="267" s="171" customFormat="1" ht="18.95" customHeight="1"/>
    <row r="268" s="171" customFormat="1" ht="18.95" customHeight="1"/>
    <row r="269" s="171" customFormat="1" ht="18.95" customHeight="1"/>
    <row r="270" s="171" customFormat="1" ht="18.95" customHeight="1"/>
    <row r="271" s="171" customFormat="1" ht="18.95" customHeight="1"/>
    <row r="272" s="171" customFormat="1" ht="18.95" customHeight="1"/>
    <row r="273" s="171" customFormat="1" ht="18.95" customHeight="1"/>
    <row r="274" s="171" customFormat="1" ht="18.95" customHeight="1"/>
    <row r="275" s="171" customFormat="1" ht="18.95" customHeight="1"/>
    <row r="276" s="171" customFormat="1" ht="18.95" customHeight="1"/>
    <row r="277" s="171" customFormat="1" ht="18.95" customHeight="1"/>
    <row r="278" s="171" customFormat="1" ht="18.95" customHeight="1"/>
    <row r="279" s="171" customFormat="1" ht="18.95" customHeight="1"/>
    <row r="280" s="171" customFormat="1" ht="18.95" customHeight="1"/>
    <row r="281" s="171" customFormat="1" ht="18.95" customHeight="1"/>
    <row r="282" s="171" customFormat="1" ht="18.95" customHeight="1"/>
    <row r="283" s="171" customFormat="1" ht="18.95" customHeight="1"/>
    <row r="284" s="171" customFormat="1" ht="18.95" customHeight="1"/>
    <row r="285" s="171" customFormat="1" ht="18.95" customHeight="1"/>
    <row r="286" s="171" customFormat="1" ht="18.95" customHeight="1"/>
    <row r="287" s="171" customFormat="1" ht="18.95" customHeight="1"/>
    <row r="288" s="171" customFormat="1" ht="18.95" customHeight="1"/>
    <row r="289" s="171" customFormat="1" ht="18.95" customHeight="1"/>
    <row r="290" s="171" customFormat="1" ht="18.95" customHeight="1"/>
    <row r="291" s="171" customFormat="1" ht="18.95" customHeight="1"/>
    <row r="292" s="171" customFormat="1" ht="18.95" customHeight="1"/>
    <row r="293" s="171" customFormat="1" ht="18.95" customHeight="1"/>
    <row r="294" s="171" customFormat="1" ht="18.95" customHeight="1"/>
    <row r="295" s="171" customFormat="1" ht="18.95" customHeight="1"/>
    <row r="296" s="171" customFormat="1" ht="18.95" customHeight="1"/>
    <row r="297" s="171" customFormat="1" ht="18.95" customHeight="1"/>
    <row r="298" s="171" customFormat="1" ht="18.95" customHeight="1"/>
    <row r="299" s="171" customFormat="1" ht="18.95" customHeight="1"/>
    <row r="300" s="171" customFormat="1" ht="18.95" customHeight="1"/>
    <row r="301" s="171" customFormat="1" ht="18.95" customHeight="1"/>
    <row r="302" s="171" customFormat="1" ht="18.95" customHeight="1"/>
    <row r="303" s="171" customFormat="1" ht="18.95" customHeight="1"/>
    <row r="304" s="171" customFormat="1" ht="18.95" customHeight="1"/>
    <row r="305" s="171" customFormat="1" ht="18.95" customHeight="1"/>
    <row r="306" s="171" customFormat="1" ht="18.95" customHeight="1"/>
    <row r="307" s="171" customFormat="1" ht="18.95" customHeight="1"/>
    <row r="308" s="171" customFormat="1" ht="18.95" customHeight="1"/>
    <row r="309" s="171" customFormat="1" ht="18.95" customHeight="1"/>
    <row r="310" s="171" customFormat="1" ht="18.95" customHeight="1"/>
    <row r="311" s="171" customFormat="1" ht="18.95" customHeight="1"/>
    <row r="312" s="171" customFormat="1"/>
    <row r="313" s="171" customFormat="1"/>
    <row r="314" s="171" customFormat="1"/>
    <row r="315" s="171" customFormat="1"/>
    <row r="316" s="171" customFormat="1"/>
    <row r="317" s="171" customFormat="1"/>
    <row r="318" s="171" customFormat="1"/>
    <row r="319" s="171" customFormat="1"/>
    <row r="320" s="171" customFormat="1"/>
    <row r="321" s="171" customFormat="1"/>
    <row r="322" s="171" customFormat="1"/>
    <row r="323" s="171" customFormat="1"/>
    <row r="324" s="171" customFormat="1"/>
    <row r="325" s="171" customFormat="1"/>
    <row r="326" s="171" customFormat="1"/>
    <row r="327" s="171" customFormat="1"/>
    <row r="328" s="171" customFormat="1"/>
    <row r="329" s="171" customFormat="1"/>
    <row r="330" s="171" customFormat="1"/>
    <row r="331" s="171" customFormat="1"/>
    <row r="332" s="171" customFormat="1"/>
    <row r="333" s="171" customFormat="1"/>
    <row r="334" s="171" customFormat="1"/>
    <row r="335" s="171" customFormat="1"/>
    <row r="336" s="171" customFormat="1"/>
    <row r="337" s="171" customFormat="1"/>
    <row r="338" s="171" customFormat="1"/>
    <row r="339" s="171" customFormat="1"/>
    <row r="340" s="171" customFormat="1"/>
    <row r="341" s="171" customFormat="1"/>
    <row r="342" s="171" customFormat="1"/>
    <row r="343" s="171" customFormat="1"/>
    <row r="344" s="171" customFormat="1"/>
    <row r="345" s="171" customFormat="1"/>
    <row r="346" s="171" customFormat="1"/>
    <row r="347" s="171" customFormat="1"/>
    <row r="348" s="171" customFormat="1"/>
    <row r="349" s="171" customFormat="1"/>
    <row r="350" s="171" customFormat="1"/>
    <row r="351" s="171" customFormat="1"/>
    <row r="352" s="171" customFormat="1"/>
    <row r="353" s="171" customFormat="1"/>
    <row r="354" s="171" customFormat="1"/>
    <row r="355" s="171" customFormat="1"/>
    <row r="356" s="171" customFormat="1"/>
    <row r="357" s="171" customFormat="1"/>
    <row r="358" s="171" customFormat="1"/>
    <row r="359" s="171" customFormat="1"/>
    <row r="360" s="171" customFormat="1"/>
    <row r="361" s="171" customFormat="1"/>
    <row r="362" s="171" customFormat="1"/>
    <row r="363" s="171" customFormat="1"/>
    <row r="364" s="171" customFormat="1"/>
    <row r="365" s="171" customFormat="1"/>
    <row r="366" s="171" customFormat="1"/>
    <row r="367" s="171" customFormat="1"/>
    <row r="368" s="171" customFormat="1"/>
  </sheetData>
  <protectedRanges>
    <protectedRange sqref="E6:H7" name="Range2_1_1"/>
    <protectedRange sqref="C8" name="Range3_1"/>
    <protectedRange sqref="F8" name="Range4_1"/>
    <protectedRange sqref="E9:E11 F9:F23 D11:D14 C9:C10 F27:F28" name="Range5_1"/>
    <protectedRange sqref="C7" name="Range2_1_1_1"/>
    <protectedRange sqref="D16:D22" name="Range5_1_1"/>
  </protectedRanges>
  <mergeCells count="22">
    <mergeCell ref="A11:O11"/>
    <mergeCell ref="A29:O29"/>
    <mergeCell ref="F75:G75"/>
    <mergeCell ref="B83:E83"/>
    <mergeCell ref="D2:F2"/>
    <mergeCell ref="N2:O2"/>
    <mergeCell ref="A3:O3"/>
    <mergeCell ref="A4:O4"/>
    <mergeCell ref="B37:F37"/>
    <mergeCell ref="F239:G239"/>
    <mergeCell ref="H132:K132"/>
    <mergeCell ref="B87:E87"/>
    <mergeCell ref="B44:E44"/>
    <mergeCell ref="B51:E51"/>
    <mergeCell ref="B97:E97"/>
    <mergeCell ref="B121:E121"/>
    <mergeCell ref="H142:K142"/>
    <mergeCell ref="H152:K152"/>
    <mergeCell ref="B171:E171"/>
    <mergeCell ref="B191:E191"/>
    <mergeCell ref="B211:E211"/>
    <mergeCell ref="B231:E231"/>
  </mergeCells>
  <phoneticPr fontId="30" type="noConversion"/>
  <printOptions horizontalCentered="1"/>
  <pageMargins left="0.47244094488188981" right="0.47244094488188981" top="0.31496062992125984" bottom="0.31496062992125984" header="0.31496062992125984" footer="0.31496062992125984"/>
  <pageSetup paperSize="9" scale="90" orientation="portrait" r:id="rId1"/>
  <headerFooter>
    <oddHeader>&amp;Rระบายน้ำฯ หน้าที่  &amp;P</oddHeader>
  </headerFooter>
  <rowBreaks count="6" manualBreakCount="6">
    <brk id="52" max="16383" man="1"/>
    <brk id="88" max="16383" man="1"/>
    <brk id="132" max="16383" man="1"/>
    <brk id="175" max="16383" man="1"/>
    <brk id="215" max="16383" man="1"/>
    <brk id="275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8"/>
  <dimension ref="A1:BK101"/>
  <sheetViews>
    <sheetView topLeftCell="A64" zoomScale="90" zoomScaleNormal="90" workbookViewId="0">
      <selection activeCell="D27" sqref="D27"/>
    </sheetView>
  </sheetViews>
  <sheetFormatPr defaultColWidth="9.140625" defaultRowHeight="24"/>
  <cols>
    <col min="1" max="1" width="3.7109375" style="1050" customWidth="1"/>
    <col min="2" max="2" width="10.140625" style="1050" customWidth="1"/>
    <col min="3" max="10" width="9.140625" style="1050"/>
    <col min="11" max="11" width="9.140625" style="1050" bestFit="1" customWidth="1"/>
    <col min="12" max="12" width="10.140625" style="1050" bestFit="1" customWidth="1"/>
    <col min="13" max="16" width="10.140625" style="1050" customWidth="1"/>
    <col min="17" max="20" width="9.140625" style="1050"/>
    <col min="21" max="21" width="6.7109375" style="1050" customWidth="1"/>
    <col min="22" max="22" width="6.7109375" style="1050" bestFit="1" customWidth="1"/>
    <col min="23" max="23" width="9.140625" style="1050"/>
    <col min="24" max="24" width="4.7109375" style="1050" customWidth="1"/>
    <col min="25" max="25" width="5.85546875" style="1050" customWidth="1"/>
    <col min="26" max="30" width="5.7109375" style="1050" customWidth="1"/>
    <col min="31" max="31" width="5.5703125" style="1050" bestFit="1" customWidth="1"/>
    <col min="32" max="32" width="5.7109375" style="1050" customWidth="1"/>
    <col min="33" max="33" width="5.5703125" style="1050" bestFit="1" customWidth="1"/>
    <col min="34" max="67" width="5.7109375" style="1050" customWidth="1"/>
    <col min="68" max="16384" width="9.140625" style="1050"/>
  </cols>
  <sheetData>
    <row r="1" spans="2:63" ht="24" customHeight="1">
      <c r="B1" s="1059" t="s">
        <v>2113</v>
      </c>
      <c r="G1" s="2418" t="s">
        <v>2112</v>
      </c>
      <c r="H1" s="2420">
        <v>2.5</v>
      </c>
      <c r="T1"/>
      <c r="U1"/>
      <c r="V1"/>
      <c r="X1" s="2409">
        <v>3</v>
      </c>
      <c r="Y1" s="1054" t="s">
        <v>2093</v>
      </c>
      <c r="Z1" s="1054"/>
      <c r="AA1" s="1054"/>
      <c r="AC1" s="1050" t="s">
        <v>274</v>
      </c>
      <c r="AD1" s="2405" t="s">
        <v>2091</v>
      </c>
      <c r="AE1" s="1054"/>
      <c r="AF1" s="1054"/>
      <c r="AH1" s="2405"/>
      <c r="AI1" s="1050">
        <v>1</v>
      </c>
      <c r="AJ1" s="2405" t="str">
        <f>+"บ่อพักน้ำ คสล.ท่อกลมสองด้านเท่ากัน Dia. 0.60 ม."</f>
        <v>บ่อพักน้ำ คสล.ท่อกลมสองด้านเท่ากัน Dia. 0.60 ม.</v>
      </c>
      <c r="AK1" s="2405"/>
      <c r="AL1" s="2405"/>
      <c r="AM1" s="2405"/>
      <c r="AN1" s="2405"/>
      <c r="AO1" s="2405"/>
      <c r="AP1" s="2405"/>
      <c r="AR1" s="1050">
        <v>1</v>
      </c>
      <c r="AS1" s="2405" t="str">
        <f>+"บ่อพักน้ำ คสล.ท่อกลมสามด้านเท่ากัน Dia. 0.60 ม."</f>
        <v>บ่อพักน้ำ คสล.ท่อกลมสามด้านเท่ากัน Dia. 0.60 ม.</v>
      </c>
      <c r="AT1" s="2405"/>
      <c r="AU1" s="2405"/>
      <c r="AV1" s="2405"/>
      <c r="AW1" s="2405"/>
      <c r="AX1" s="2405"/>
      <c r="AY1" s="2405"/>
      <c r="AZ1" s="2405"/>
      <c r="BA1" s="1050">
        <v>1</v>
      </c>
      <c r="BB1" s="2405" t="str">
        <f>+"บ่อพักน้ำ คสล.ท่อกลมสี่ด้านเท่ากัน Dia. 0.60 ม."</f>
        <v>บ่อพักน้ำ คสล.ท่อกลมสี่ด้านเท่ากัน Dia. 0.60 ม.</v>
      </c>
      <c r="BC1" s="2405"/>
      <c r="BD1" s="2405"/>
      <c r="BE1" s="2405"/>
      <c r="BF1" s="1054"/>
      <c r="BJ1" s="1050">
        <v>1</v>
      </c>
      <c r="BK1" s="2405" t="str">
        <f>+"บ่อพักน้ำ คสล.ท่อกลมด้านเดียว Dia. 0.60 ม."</f>
        <v>บ่อพักน้ำ คสล.ท่อกลมด้านเดียว Dia. 0.60 ม.</v>
      </c>
    </row>
    <row r="2" spans="2:63" ht="24" customHeight="1">
      <c r="B2" s="2773" t="s">
        <v>551</v>
      </c>
      <c r="C2" s="2773" t="s">
        <v>712</v>
      </c>
      <c r="D2" s="2773" t="s">
        <v>294</v>
      </c>
      <c r="E2" s="2773" t="s">
        <v>2076</v>
      </c>
      <c r="F2" s="2773" t="s">
        <v>2098</v>
      </c>
      <c r="G2" s="2773" t="s">
        <v>2091</v>
      </c>
      <c r="H2" s="2773" t="s">
        <v>713</v>
      </c>
      <c r="I2" s="2773"/>
      <c r="J2" s="2774" t="s">
        <v>282</v>
      </c>
      <c r="K2" s="2775"/>
      <c r="L2" s="2775"/>
      <c r="M2" s="2775"/>
      <c r="N2" s="2775"/>
      <c r="O2" s="2775"/>
      <c r="P2" s="2776"/>
      <c r="Q2" s="2773" t="s">
        <v>716</v>
      </c>
      <c r="R2" s="2773" t="s">
        <v>585</v>
      </c>
      <c r="T2"/>
      <c r="U2"/>
      <c r="V2"/>
      <c r="W2" s="2403"/>
      <c r="X2" s="2409">
        <v>3</v>
      </c>
      <c r="Y2" s="1054" t="s">
        <v>2095</v>
      </c>
      <c r="Z2" s="1054"/>
      <c r="AA2" s="1054"/>
      <c r="AB2" s="1054"/>
      <c r="AC2" s="1050" t="s">
        <v>2087</v>
      </c>
      <c r="AD2" s="2404" t="s">
        <v>2096</v>
      </c>
      <c r="AE2" s="1054"/>
      <c r="AF2" s="1054"/>
      <c r="AG2" s="1054"/>
      <c r="AH2" s="2405"/>
      <c r="AI2" s="1050">
        <v>2</v>
      </c>
      <c r="AJ2" s="2405" t="str">
        <f>+"บ่อพักน้ำ คสล.ท่อกลมสองด้านเท่ากัน Dia. 0.80 ม."</f>
        <v>บ่อพักน้ำ คสล.ท่อกลมสองด้านเท่ากัน Dia. 0.80 ม.</v>
      </c>
      <c r="AK2" s="2405"/>
      <c r="AL2" s="2405"/>
      <c r="AM2" s="2405"/>
      <c r="AN2" s="2405"/>
      <c r="AO2" s="2405"/>
      <c r="AP2" s="2405"/>
      <c r="AR2" s="1050">
        <v>2</v>
      </c>
      <c r="AS2" s="2405" t="str">
        <f>+"บ่อพักน้ำ คสล.ท่อกลมสามด้านเท่ากัน Dia. 0.80 ม."</f>
        <v>บ่อพักน้ำ คสล.ท่อกลมสามด้านเท่ากัน Dia. 0.80 ม.</v>
      </c>
      <c r="AT2" s="2405"/>
      <c r="AU2" s="2405"/>
      <c r="AV2" s="2405"/>
      <c r="AW2" s="2405"/>
      <c r="AX2" s="2405"/>
      <c r="AY2" s="2405"/>
      <c r="AZ2" s="2405"/>
      <c r="BA2" s="1050">
        <v>2</v>
      </c>
      <c r="BB2" s="2405" t="str">
        <f>+"บ่อพักน้ำ คสล.ท่อกลมสี่ด้านเท่ากัน Dia. 0.80 ม."</f>
        <v>บ่อพักน้ำ คสล.ท่อกลมสี่ด้านเท่ากัน Dia. 0.80 ม.</v>
      </c>
      <c r="BC2" s="2405"/>
      <c r="BD2" s="2405"/>
      <c r="BE2" s="2405"/>
      <c r="BF2" s="1054"/>
      <c r="BJ2" s="1050">
        <v>2</v>
      </c>
      <c r="BK2" s="2405" t="str">
        <f>+"บ่อพักน้ำ คสล.ท่อกลมด้านเดียว Dia. 0.80 ม."</f>
        <v>บ่อพักน้ำ คสล.ท่อกลมด้านเดียว Dia. 0.80 ม.</v>
      </c>
    </row>
    <row r="3" spans="2:63" ht="48">
      <c r="B3" s="2773"/>
      <c r="C3" s="2773"/>
      <c r="D3" s="2773"/>
      <c r="E3" s="2773"/>
      <c r="F3" s="2773"/>
      <c r="G3" s="2773"/>
      <c r="H3" s="1057" t="s">
        <v>607</v>
      </c>
      <c r="I3" s="1058" t="s">
        <v>280</v>
      </c>
      <c r="J3" s="1057" t="s">
        <v>2097</v>
      </c>
      <c r="K3" s="1057" t="s">
        <v>714</v>
      </c>
      <c r="L3" s="1058" t="s">
        <v>715</v>
      </c>
      <c r="M3" s="1058" t="s">
        <v>2099</v>
      </c>
      <c r="N3" s="1058" t="s">
        <v>2100</v>
      </c>
      <c r="O3" s="1058" t="s">
        <v>2101</v>
      </c>
      <c r="P3" s="1058" t="s">
        <v>28</v>
      </c>
      <c r="Q3" s="2773"/>
      <c r="R3" s="2773"/>
      <c r="T3"/>
      <c r="U3"/>
      <c r="V3"/>
      <c r="X3" s="2409">
        <v>3</v>
      </c>
      <c r="Y3" s="1054" t="s">
        <v>2116</v>
      </c>
      <c r="AH3" s="2405"/>
      <c r="AI3" s="1050">
        <v>3</v>
      </c>
      <c r="AJ3" s="2405" t="str">
        <f>+"บ่อพักน้ำ คสล.ท่อกลมสองด้านเท่ากัน Dia.1.00 ม."</f>
        <v>บ่อพักน้ำ คสล.ท่อกลมสองด้านเท่ากัน Dia.1.00 ม.</v>
      </c>
      <c r="AK3" s="2405"/>
      <c r="AL3" s="2405"/>
      <c r="AM3" s="2405"/>
      <c r="AN3" s="2405"/>
      <c r="AO3" s="2405"/>
      <c r="AP3" s="2405"/>
      <c r="AR3" s="1050">
        <v>3</v>
      </c>
      <c r="AS3" s="2405" t="str">
        <f>+"บ่อพักน้ำ คสล.ท่อกลมสามด้านเท่ากัน Dia.1.00 ม."</f>
        <v>บ่อพักน้ำ คสล.ท่อกลมสามด้านเท่ากัน Dia.1.00 ม.</v>
      </c>
      <c r="AT3" s="2405"/>
      <c r="AU3" s="2405"/>
      <c r="AV3" s="2405"/>
      <c r="AW3" s="2405"/>
      <c r="AX3" s="2405"/>
      <c r="AY3" s="2405"/>
      <c r="AZ3" s="2405"/>
      <c r="BA3" s="1050">
        <v>3</v>
      </c>
      <c r="BB3" s="2405" t="str">
        <f>+"บ่อพักน้ำ คสล.ท่อกลมสี่ด้านเท่ากัน Dia.1.00 ม."</f>
        <v>บ่อพักน้ำ คสล.ท่อกลมสี่ด้านเท่ากัน Dia.1.00 ม.</v>
      </c>
      <c r="BC3" s="2405"/>
      <c r="BD3" s="2405"/>
      <c r="BE3" s="2405"/>
      <c r="BJ3" s="1050">
        <v>3</v>
      </c>
      <c r="BK3" s="2405" t="str">
        <f>+"บ่อพักน้ำ คสล.ท่อกลมด้านเดียว Dia.1.00 ม."</f>
        <v>บ่อพักน้ำ คสล.ท่อกลมด้านเดียว Dia.1.00 ม.</v>
      </c>
    </row>
    <row r="4" spans="2:63">
      <c r="B4" s="1053">
        <f>VLOOKUP($X$1,$B$9:$C$12,2)</f>
        <v>1</v>
      </c>
      <c r="C4" s="1052">
        <f>+$E$8</f>
        <v>1.22</v>
      </c>
      <c r="D4" s="1051">
        <f>ROUND((22/7*C4^2)/4,3)</f>
        <v>1.169</v>
      </c>
      <c r="E4" s="1051">
        <f>ROUND($D$8*($J$8+0.3)*($K$8+0.3),3)</f>
        <v>7.125</v>
      </c>
      <c r="F4" s="1053">
        <v>0.3</v>
      </c>
      <c r="G4" s="1052">
        <f>+$D$8-0.65</f>
        <v>1.85</v>
      </c>
      <c r="H4" s="1052">
        <f>+J8</f>
        <v>1.6</v>
      </c>
      <c r="I4" s="1052">
        <f>+K8</f>
        <v>1.2</v>
      </c>
      <c r="J4" s="1051">
        <f>ROUND($I$4*$G$4*$I$8*2,2)</f>
        <v>0.67</v>
      </c>
      <c r="K4" s="1051">
        <f>ROUND(($H$4*$G$4-$D$4)*$I$8*2,2)</f>
        <v>0.54</v>
      </c>
      <c r="L4" s="1051">
        <f>ROUND($H$4*$I$4*$I$8,3)</f>
        <v>0.28799999999999998</v>
      </c>
      <c r="M4" s="1052">
        <f>ROUND((((H4+I8*2)*(I4+I8*2))-(0.8*0.8))*0.12,2)</f>
        <v>0.27</v>
      </c>
      <c r="N4" s="1052">
        <f>ROUND((1.1*1+0.8*2)*$I$8,2)</f>
        <v>0.41</v>
      </c>
      <c r="O4" s="1052">
        <f>ROUND((0.87*0.87)*0.075,2)</f>
        <v>0.06</v>
      </c>
      <c r="P4" s="1052">
        <f>SUM(J4:O4)</f>
        <v>2.238</v>
      </c>
      <c r="Q4" s="1051">
        <f>ROUND(0.05*($J$8+0.3)*($K$8+0.3),2)</f>
        <v>0.14000000000000001</v>
      </c>
      <c r="R4" s="1051">
        <f>ROUND(0.1*($J$8+0.3)*($K$8+0.3),2)</f>
        <v>0.28999999999999998</v>
      </c>
      <c r="T4"/>
      <c r="U4"/>
      <c r="V4"/>
      <c r="X4" s="2409">
        <v>3</v>
      </c>
      <c r="Y4" s="1054" t="s">
        <v>2094</v>
      </c>
      <c r="AH4" s="2405"/>
      <c r="AI4" s="1050">
        <v>4</v>
      </c>
      <c r="AJ4" s="2405" t="str">
        <f>+"บ่อพักน้ำ คสล.ท่อกลมสองด้านเท่ากัน Dia. 1.20 ม."</f>
        <v>บ่อพักน้ำ คสล.ท่อกลมสองด้านเท่ากัน Dia. 1.20 ม.</v>
      </c>
      <c r="AK4" s="2405"/>
      <c r="AL4" s="2405"/>
      <c r="AM4" s="2405"/>
      <c r="AN4" s="2405"/>
      <c r="AO4" s="2405"/>
      <c r="AP4" s="2405"/>
      <c r="AR4" s="1050">
        <v>4</v>
      </c>
      <c r="AS4" s="2405" t="str">
        <f>+"บ่อพักน้ำ คสล.ท่อกลมสามด้านเท่ากัน Dia. 1.20 ม."</f>
        <v>บ่อพักน้ำ คสล.ท่อกลมสามด้านเท่ากัน Dia. 1.20 ม.</v>
      </c>
      <c r="AT4" s="2405"/>
      <c r="AU4" s="2405"/>
      <c r="AV4" s="2405"/>
      <c r="AW4" s="2405"/>
      <c r="AX4" s="2405"/>
      <c r="AY4" s="2405"/>
      <c r="AZ4" s="2405"/>
      <c r="BA4" s="1050">
        <v>4</v>
      </c>
      <c r="BB4" s="2405" t="str">
        <f>+"บ่อพักน้ำ คสล.ท่อกลมสี่ด้านเท่ากัน Dia. 1.20 ม."</f>
        <v>บ่อพักน้ำ คสล.ท่อกลมสี่ด้านเท่ากัน Dia. 1.20 ม.</v>
      </c>
      <c r="BC4" s="2405"/>
      <c r="BD4" s="2405"/>
      <c r="BE4" s="2405"/>
      <c r="BJ4" s="1050">
        <v>4</v>
      </c>
      <c r="BK4" s="2405" t="str">
        <f>+"บ่อพักน้ำ คสล.ท่อกลมด้านเดียว Dia. 1.20 ม."</f>
        <v>บ่อพักน้ำ คสล.ท่อกลมด้านเดียว Dia. 1.20 ม.</v>
      </c>
    </row>
    <row r="5" spans="2:63">
      <c r="T5"/>
      <c r="U5"/>
      <c r="V5"/>
      <c r="AH5" s="2405"/>
      <c r="AI5" s="2405"/>
      <c r="AJ5" s="2405"/>
      <c r="AK5" s="2405"/>
      <c r="AL5" s="2405"/>
      <c r="AM5" s="2405"/>
      <c r="AN5" s="2405"/>
      <c r="AO5" s="2405"/>
      <c r="AP5" s="2405"/>
      <c r="AQ5" s="2405"/>
      <c r="AR5" s="2405"/>
      <c r="AS5" s="2405"/>
      <c r="AT5" s="2405"/>
      <c r="AU5" s="2405"/>
      <c r="AV5" s="2405"/>
      <c r="AW5" s="2405"/>
      <c r="AX5" s="2405"/>
      <c r="AY5" s="2405"/>
      <c r="AZ5" s="2405"/>
      <c r="BA5" s="2405"/>
      <c r="BB5" s="2405"/>
      <c r="BC5" s="2405"/>
      <c r="BD5" s="2405"/>
      <c r="BE5" s="2405"/>
    </row>
    <row r="6" spans="2:63">
      <c r="B6" s="2769" t="s">
        <v>604</v>
      </c>
      <c r="C6" s="2769" t="s">
        <v>2092</v>
      </c>
      <c r="D6" s="2758" t="s">
        <v>274</v>
      </c>
      <c r="E6" s="2771" t="s">
        <v>2088</v>
      </c>
      <c r="F6" s="2758" t="s">
        <v>2086</v>
      </c>
      <c r="G6" s="2768" t="s">
        <v>2089</v>
      </c>
      <c r="H6" s="2758" t="s">
        <v>416</v>
      </c>
      <c r="I6" s="2758" t="s">
        <v>2090</v>
      </c>
      <c r="J6" s="2765" t="s">
        <v>713</v>
      </c>
      <c r="K6" s="2766"/>
      <c r="L6" s="2765">
        <v>1</v>
      </c>
      <c r="M6" s="2766"/>
      <c r="N6" s="2765">
        <f>+L6+1</f>
        <v>2</v>
      </c>
      <c r="O6" s="2766"/>
      <c r="P6" s="2765">
        <f>+N6+1</f>
        <v>3</v>
      </c>
      <c r="Q6" s="2766"/>
      <c r="R6" s="2765">
        <f>+P6+1</f>
        <v>4</v>
      </c>
      <c r="S6" s="2766"/>
      <c r="T6" s="2765">
        <f>+R6+1</f>
        <v>5</v>
      </c>
      <c r="U6" s="2766"/>
      <c r="V6" s="2765">
        <f>+T6+1</f>
        <v>6</v>
      </c>
      <c r="W6" s="2766"/>
      <c r="X6" s="2765">
        <f>+V6+1</f>
        <v>7</v>
      </c>
      <c r="Y6" s="2766"/>
      <c r="Z6" s="2767">
        <f>+X6+1</f>
        <v>8</v>
      </c>
      <c r="AA6" s="2767"/>
      <c r="AB6" s="2767">
        <f>+Z6+1</f>
        <v>9</v>
      </c>
      <c r="AC6" s="2767"/>
      <c r="AD6" s="2767">
        <f>+AB6+1</f>
        <v>10</v>
      </c>
      <c r="AE6" s="2767"/>
      <c r="AF6" s="2767">
        <f>+AD6+1</f>
        <v>11</v>
      </c>
      <c r="AG6" s="2767"/>
      <c r="AH6" s="2758" t="s">
        <v>2105</v>
      </c>
      <c r="AI6" s="2758"/>
      <c r="AJ6" s="2758" t="s">
        <v>2106</v>
      </c>
      <c r="AK6" s="2758"/>
      <c r="AL6"/>
    </row>
    <row r="7" spans="2:63">
      <c r="B7" s="2770"/>
      <c r="C7" s="2770"/>
      <c r="D7" s="2758"/>
      <c r="E7" s="2772"/>
      <c r="F7" s="2758"/>
      <c r="G7" s="2758"/>
      <c r="H7" s="2758"/>
      <c r="I7" s="2758"/>
      <c r="J7" s="2423" t="s">
        <v>607</v>
      </c>
      <c r="K7" s="2423" t="s">
        <v>280</v>
      </c>
      <c r="L7" s="2424" t="s">
        <v>605</v>
      </c>
      <c r="M7" s="2425" t="s">
        <v>279</v>
      </c>
      <c r="N7" s="2424" t="s">
        <v>605</v>
      </c>
      <c r="O7" s="2425" t="s">
        <v>279</v>
      </c>
      <c r="P7" s="2424" t="s">
        <v>605</v>
      </c>
      <c r="Q7" s="2425" t="s">
        <v>279</v>
      </c>
      <c r="R7" s="2424" t="s">
        <v>605</v>
      </c>
      <c r="S7" s="2425" t="s">
        <v>279</v>
      </c>
      <c r="T7" s="2424" t="s">
        <v>605</v>
      </c>
      <c r="U7" s="2425" t="s">
        <v>279</v>
      </c>
      <c r="V7" s="2424" t="s">
        <v>605</v>
      </c>
      <c r="W7" s="2425" t="s">
        <v>279</v>
      </c>
      <c r="X7" s="2424" t="s">
        <v>605</v>
      </c>
      <c r="Y7" s="2425" t="s">
        <v>279</v>
      </c>
      <c r="Z7" s="2424" t="s">
        <v>605</v>
      </c>
      <c r="AA7" s="2425" t="s">
        <v>279</v>
      </c>
      <c r="AB7" s="2424" t="s">
        <v>605</v>
      </c>
      <c r="AC7" s="2425" t="s">
        <v>279</v>
      </c>
      <c r="AD7" s="2424" t="s">
        <v>605</v>
      </c>
      <c r="AE7" s="2425" t="s">
        <v>279</v>
      </c>
      <c r="AF7" s="2425" t="s">
        <v>22</v>
      </c>
      <c r="AG7" s="2424" t="s">
        <v>605</v>
      </c>
      <c r="AH7" s="2425" t="s">
        <v>438</v>
      </c>
      <c r="AI7" s="2425" t="s">
        <v>22</v>
      </c>
      <c r="AJ7" s="2425" t="s">
        <v>438</v>
      </c>
      <c r="AK7" s="2425" t="s">
        <v>22</v>
      </c>
      <c r="AL7"/>
    </row>
    <row r="8" spans="2:63">
      <c r="B8" s="2426">
        <f>VLOOKUP($X$1,$B$9:$AG$12,1)</f>
        <v>3</v>
      </c>
      <c r="C8" s="2427">
        <f>VLOOKUP($X$1,$B$9:$AG$12,2)</f>
        <v>1</v>
      </c>
      <c r="D8" s="2427">
        <f>VLOOKUP($X$1,$B$9:$AG$12,3)</f>
        <v>2.5</v>
      </c>
      <c r="E8" s="2428">
        <f>VLOOKUP($X$1,$B$9:$AG$12,4)</f>
        <v>1.22</v>
      </c>
      <c r="F8" s="2428">
        <f>VLOOKUP($X$1,$B$9:$AG$12,5)</f>
        <v>0.65999999999999992</v>
      </c>
      <c r="G8" s="2428">
        <f>VLOOKUP($X$1,$B$9:$AG$12,6)</f>
        <v>0.65999999999999992</v>
      </c>
      <c r="H8" s="2428">
        <f>VLOOKUP($X$1,$B$9:$AG$12,7)</f>
        <v>0.22</v>
      </c>
      <c r="I8" s="2428">
        <f>VLOOKUP($X$1,$B$9:$AG$12,8)</f>
        <v>0.15</v>
      </c>
      <c r="J8" s="2427">
        <f>VLOOKUP($X$1,$B$9:$AG$12,9)</f>
        <v>1.6</v>
      </c>
      <c r="K8" s="2427">
        <f>VLOOKUP($X$1,$B$9:$AG$12,10)</f>
        <v>1.2</v>
      </c>
      <c r="L8" s="2428">
        <f>VLOOKUP($X$1,$B$9:$AG$12,11)</f>
        <v>9</v>
      </c>
      <c r="M8" s="2428">
        <f>VLOOKUP($X$1,$B$9:$AG$12,12)</f>
        <v>0.3</v>
      </c>
      <c r="N8" s="2428">
        <f>VLOOKUP($X$1,$B$9:$AG$12,13)</f>
        <v>9</v>
      </c>
      <c r="O8" s="2428">
        <f>VLOOKUP($X$1,$B$9:$AG$12,14)</f>
        <v>0.3</v>
      </c>
      <c r="P8" s="2428">
        <f>VLOOKUP($X$1,$B$9:$AG$12,15)</f>
        <v>9</v>
      </c>
      <c r="Q8" s="2428">
        <f>VLOOKUP($X$1,$B$9:$AG$12,16)</f>
        <v>0.3</v>
      </c>
      <c r="R8" s="2428">
        <f>VLOOKUP($X$1,$B$9:$AG$12,17)</f>
        <v>9</v>
      </c>
      <c r="S8" s="2428">
        <f>VLOOKUP($X$1,$B$9:$AG$12,18)</f>
        <v>0.3</v>
      </c>
      <c r="T8" s="2428">
        <f>VLOOKUP($X$1,$B$9:$AG$12,19)</f>
        <v>9</v>
      </c>
      <c r="U8" s="2428">
        <f>VLOOKUP($X$1,$B$9:$AG$12,20)</f>
        <v>0.3</v>
      </c>
      <c r="V8" s="2428">
        <f>VLOOKUP($X$1,$B$9:$AG$12,21)</f>
        <v>9</v>
      </c>
      <c r="W8" s="2428">
        <f>VLOOKUP($X$1,$B$9:$AG$12,22)</f>
        <v>0.3</v>
      </c>
      <c r="X8" s="2428">
        <f>VLOOKUP($X$1,$B$9:$AG$12,23)</f>
        <v>9</v>
      </c>
      <c r="Y8" s="2428">
        <f>VLOOKUP($X$1,$B$9:$AG$12,24)</f>
        <v>0.3</v>
      </c>
      <c r="Z8" s="2428">
        <f>VLOOKUP($X$1,$B$9:$AG$12,25)</f>
        <v>9</v>
      </c>
      <c r="AA8" s="2428">
        <f>VLOOKUP($X$1,$B$9:$AG$12,26)</f>
        <v>0.3</v>
      </c>
      <c r="AB8" s="2428">
        <f>VLOOKUP($X$1,$B$9:$AG$12,27)</f>
        <v>9</v>
      </c>
      <c r="AC8" s="2428">
        <f>VLOOKUP($X$1,$B$9:$AG$12,28)</f>
        <v>0.3</v>
      </c>
      <c r="AD8" s="2428">
        <f>VLOOKUP($X$1,$B$9:$AG$12,29)</f>
        <v>9</v>
      </c>
      <c r="AE8" s="2428">
        <f>VLOOKUP($X$1,$B$9:$AG$12,30)</f>
        <v>0.15</v>
      </c>
      <c r="AF8" s="2428">
        <f>VLOOKUP($X$1,$B$9:$AG$12,31)</f>
        <v>3</v>
      </c>
      <c r="AG8" s="2428">
        <f>VLOOKUP($X$1,$B$9:$AG$12,32)</f>
        <v>12</v>
      </c>
      <c r="AH8" s="2428">
        <f>VLOOKUP($X$1,$B$9:$AH$12,33)</f>
        <v>3.83</v>
      </c>
      <c r="AI8" s="2428">
        <f>VLOOKUP($X$1,$B$9:$AI$12,34)</f>
        <v>4</v>
      </c>
      <c r="AJ8" s="1052">
        <v>4.4000000000000004</v>
      </c>
      <c r="AK8" s="2414">
        <f>+ROUND(0.5/0.15+1,)</f>
        <v>4</v>
      </c>
      <c r="AL8"/>
    </row>
    <row r="9" spans="2:63">
      <c r="B9" s="2406">
        <v>1</v>
      </c>
      <c r="C9" s="2407">
        <v>0.6</v>
      </c>
      <c r="D9" s="2407">
        <f>+H1</f>
        <v>2.5</v>
      </c>
      <c r="E9" s="2407">
        <f>+C9+H9</f>
        <v>0.75</v>
      </c>
      <c r="F9" s="2407">
        <f>+D9-0.62-E9</f>
        <v>1.1299999999999999</v>
      </c>
      <c r="G9" s="2407">
        <f>+IF(F9&lt;0,"N",F9)</f>
        <v>1.1299999999999999</v>
      </c>
      <c r="H9" s="2407">
        <v>0.15</v>
      </c>
      <c r="I9" s="2407">
        <v>0.15</v>
      </c>
      <c r="J9" s="2407">
        <v>1.2</v>
      </c>
      <c r="K9" s="2407">
        <v>1</v>
      </c>
      <c r="L9" s="2406">
        <v>9</v>
      </c>
      <c r="M9" s="2407">
        <v>0.3</v>
      </c>
      <c r="N9" s="2406">
        <v>9</v>
      </c>
      <c r="O9" s="2407">
        <v>0.3</v>
      </c>
      <c r="P9" s="2406">
        <v>9</v>
      </c>
      <c r="Q9" s="2407">
        <v>0.3</v>
      </c>
      <c r="R9" s="2406">
        <v>9</v>
      </c>
      <c r="S9" s="2407">
        <v>0.3</v>
      </c>
      <c r="T9" s="2406">
        <v>9</v>
      </c>
      <c r="U9" s="2407">
        <v>0.3</v>
      </c>
      <c r="V9" s="2406">
        <v>9</v>
      </c>
      <c r="W9" s="2407">
        <v>0.3</v>
      </c>
      <c r="X9" s="2406">
        <v>9</v>
      </c>
      <c r="Y9" s="2407">
        <v>0.3</v>
      </c>
      <c r="Z9" s="2406">
        <v>9</v>
      </c>
      <c r="AA9" s="2407">
        <v>0.3</v>
      </c>
      <c r="AB9" s="2406">
        <v>9</v>
      </c>
      <c r="AC9" s="2407">
        <v>0.3</v>
      </c>
      <c r="AD9" s="2406">
        <v>9</v>
      </c>
      <c r="AE9" s="2407">
        <v>0.15</v>
      </c>
      <c r="AF9" s="2406">
        <v>3</v>
      </c>
      <c r="AG9" s="2408">
        <v>12</v>
      </c>
      <c r="AH9" s="2407">
        <f>ROUND(2*3.14285714285714*E9/2,2)</f>
        <v>2.36</v>
      </c>
      <c r="AI9" s="2408">
        <v>4</v>
      </c>
      <c r="AJ9" s="1051">
        <v>0.62</v>
      </c>
      <c r="AK9" s="2414">
        <f>+ROUND(1.1/0.15+1,)*4</f>
        <v>32</v>
      </c>
      <c r="AL9"/>
    </row>
    <row r="10" spans="2:63">
      <c r="B10" s="2406">
        <v>2</v>
      </c>
      <c r="C10" s="2407">
        <v>0.8</v>
      </c>
      <c r="D10" s="2407">
        <f>+D9</f>
        <v>2.5</v>
      </c>
      <c r="E10" s="2407">
        <f>+C10+H10</f>
        <v>0.99</v>
      </c>
      <c r="F10" s="2407">
        <f>+D10-0.62-E10</f>
        <v>0.8899999999999999</v>
      </c>
      <c r="G10" s="2407">
        <f>+IF(F10&lt;0,"N",F10)</f>
        <v>0.8899999999999999</v>
      </c>
      <c r="H10" s="2407">
        <f>0.095*2</f>
        <v>0.19</v>
      </c>
      <c r="I10" s="2407">
        <v>0.15</v>
      </c>
      <c r="J10" s="2407">
        <v>1.4</v>
      </c>
      <c r="K10" s="2407">
        <v>1</v>
      </c>
      <c r="L10" s="2406">
        <v>9</v>
      </c>
      <c r="M10" s="2407">
        <v>0.3</v>
      </c>
      <c r="N10" s="2406">
        <v>9</v>
      </c>
      <c r="O10" s="2407">
        <v>0.3</v>
      </c>
      <c r="P10" s="2406">
        <v>9</v>
      </c>
      <c r="Q10" s="2407">
        <v>0.3</v>
      </c>
      <c r="R10" s="2406">
        <v>9</v>
      </c>
      <c r="S10" s="2407">
        <v>0.3</v>
      </c>
      <c r="T10" s="2406">
        <v>9</v>
      </c>
      <c r="U10" s="2407">
        <v>0.3</v>
      </c>
      <c r="V10" s="2406">
        <v>9</v>
      </c>
      <c r="W10" s="2407">
        <v>0.3</v>
      </c>
      <c r="X10" s="2406">
        <v>9</v>
      </c>
      <c r="Y10" s="2407">
        <v>0.3</v>
      </c>
      <c r="Z10" s="2406">
        <v>9</v>
      </c>
      <c r="AA10" s="2407">
        <v>0.3</v>
      </c>
      <c r="AB10" s="2406">
        <v>9</v>
      </c>
      <c r="AC10" s="2407">
        <v>0.3</v>
      </c>
      <c r="AD10" s="2406">
        <v>9</v>
      </c>
      <c r="AE10" s="2407">
        <v>0.15</v>
      </c>
      <c r="AF10" s="2406">
        <v>3</v>
      </c>
      <c r="AG10" s="2408">
        <v>12</v>
      </c>
      <c r="AH10" s="2407">
        <f>ROUND(2*3.14285714285714*E10/2,2)</f>
        <v>3.11</v>
      </c>
      <c r="AI10" s="2408">
        <v>4</v>
      </c>
      <c r="AJ10" s="2759" t="s">
        <v>2107</v>
      </c>
      <c r="AK10" s="2759"/>
      <c r="AL10"/>
    </row>
    <row r="11" spans="2:63">
      <c r="B11" s="2406">
        <v>3</v>
      </c>
      <c r="C11" s="2407">
        <v>1</v>
      </c>
      <c r="D11" s="2407">
        <f>+D10</f>
        <v>2.5</v>
      </c>
      <c r="E11" s="2407">
        <f>+C11+H11</f>
        <v>1.22</v>
      </c>
      <c r="F11" s="2407">
        <f>+D11-0.62-E11</f>
        <v>0.65999999999999992</v>
      </c>
      <c r="G11" s="2407">
        <f>+IF(F11&lt;0,"N",F11)</f>
        <v>0.65999999999999992</v>
      </c>
      <c r="H11" s="2407">
        <f>0.11*2</f>
        <v>0.22</v>
      </c>
      <c r="I11" s="2407">
        <v>0.15</v>
      </c>
      <c r="J11" s="2407">
        <v>1.6</v>
      </c>
      <c r="K11" s="2407">
        <v>1.2</v>
      </c>
      <c r="L11" s="2406">
        <v>9</v>
      </c>
      <c r="M11" s="2407">
        <v>0.3</v>
      </c>
      <c r="N11" s="2406">
        <v>9</v>
      </c>
      <c r="O11" s="2407">
        <v>0.3</v>
      </c>
      <c r="P11" s="2406">
        <v>9</v>
      </c>
      <c r="Q11" s="2407">
        <v>0.3</v>
      </c>
      <c r="R11" s="2406">
        <v>9</v>
      </c>
      <c r="S11" s="2407">
        <v>0.3</v>
      </c>
      <c r="T11" s="2406">
        <v>9</v>
      </c>
      <c r="U11" s="2407">
        <v>0.3</v>
      </c>
      <c r="V11" s="2406">
        <v>9</v>
      </c>
      <c r="W11" s="2407">
        <v>0.3</v>
      </c>
      <c r="X11" s="2406">
        <v>9</v>
      </c>
      <c r="Y11" s="2407">
        <v>0.3</v>
      </c>
      <c r="Z11" s="2406">
        <v>9</v>
      </c>
      <c r="AA11" s="2407">
        <v>0.3</v>
      </c>
      <c r="AB11" s="2406">
        <v>9</v>
      </c>
      <c r="AC11" s="2407">
        <v>0.3</v>
      </c>
      <c r="AD11" s="2406">
        <v>9</v>
      </c>
      <c r="AE11" s="2407">
        <v>0.15</v>
      </c>
      <c r="AF11" s="2406">
        <v>3</v>
      </c>
      <c r="AG11" s="2408">
        <v>12</v>
      </c>
      <c r="AH11" s="2407">
        <f>ROUND(2*3.14285714285714*E11/2,2)</f>
        <v>3.83</v>
      </c>
      <c r="AI11" s="2408">
        <v>4</v>
      </c>
      <c r="AJ11" s="2419">
        <v>0.435</v>
      </c>
      <c r="AK11" s="2414">
        <f>8*2</f>
        <v>16</v>
      </c>
      <c r="AL11"/>
    </row>
    <row r="12" spans="2:63">
      <c r="B12" s="2406">
        <v>4</v>
      </c>
      <c r="C12" s="2407">
        <v>1.2</v>
      </c>
      <c r="D12" s="2407">
        <f>+D11</f>
        <v>2.5</v>
      </c>
      <c r="E12" s="2407">
        <f>+C12+H12</f>
        <v>1.45</v>
      </c>
      <c r="F12" s="2407">
        <f>+D12-0.62-E12</f>
        <v>0.42999999999999994</v>
      </c>
      <c r="G12" s="2407">
        <f>+IF(F12&lt;0,"N",F12)</f>
        <v>0.42999999999999994</v>
      </c>
      <c r="H12" s="2407">
        <f>0.125*2</f>
        <v>0.25</v>
      </c>
      <c r="I12" s="2407">
        <v>0.15</v>
      </c>
      <c r="J12" s="2407">
        <v>1.8</v>
      </c>
      <c r="K12" s="2407">
        <v>1.2</v>
      </c>
      <c r="L12" s="2406">
        <v>9</v>
      </c>
      <c r="M12" s="2407">
        <v>0.18</v>
      </c>
      <c r="N12" s="2406">
        <v>9</v>
      </c>
      <c r="O12" s="2407">
        <v>0.3</v>
      </c>
      <c r="P12" s="2406">
        <v>9</v>
      </c>
      <c r="Q12" s="2407">
        <v>0.18</v>
      </c>
      <c r="R12" s="2406">
        <v>9</v>
      </c>
      <c r="S12" s="2407">
        <v>0.3</v>
      </c>
      <c r="T12" s="2406">
        <v>9</v>
      </c>
      <c r="U12" s="2407">
        <v>0.3</v>
      </c>
      <c r="V12" s="2406">
        <v>9</v>
      </c>
      <c r="W12" s="2407">
        <v>0.24</v>
      </c>
      <c r="X12" s="2406">
        <v>9</v>
      </c>
      <c r="Y12" s="2407">
        <v>0.3</v>
      </c>
      <c r="Z12" s="2406">
        <v>9</v>
      </c>
      <c r="AA12" s="2407">
        <v>0.18</v>
      </c>
      <c r="AB12" s="2406">
        <v>9</v>
      </c>
      <c r="AC12" s="2407">
        <v>0.22</v>
      </c>
      <c r="AD12" s="2406">
        <v>12</v>
      </c>
      <c r="AE12" s="2407">
        <v>0.2</v>
      </c>
      <c r="AF12" s="2406">
        <v>2</v>
      </c>
      <c r="AG12" s="2408">
        <v>16</v>
      </c>
      <c r="AH12" s="2407">
        <f>ROUND(2*3.14285714285714*E12/2,2)</f>
        <v>4.5599999999999996</v>
      </c>
      <c r="AI12" s="2408">
        <v>4</v>
      </c>
      <c r="AJ12" s="1051">
        <v>0.88</v>
      </c>
      <c r="AK12" s="1051">
        <f>5*2</f>
        <v>10</v>
      </c>
      <c r="AL12"/>
    </row>
    <row r="13" spans="2:63">
      <c r="B13" s="2760">
        <v>1</v>
      </c>
      <c r="C13" s="2761"/>
      <c r="D13" s="2760">
        <v>5</v>
      </c>
      <c r="E13" s="2761"/>
      <c r="F13" s="2760">
        <v>6</v>
      </c>
      <c r="G13" s="2761"/>
      <c r="H13" s="2762">
        <v>7</v>
      </c>
      <c r="I13" s="2762"/>
      <c r="J13" s="2763" t="s">
        <v>2104</v>
      </c>
      <c r="K13" s="2764"/>
      <c r="L13" s="2429" t="s">
        <v>438</v>
      </c>
      <c r="M13" s="2401" t="s">
        <v>604</v>
      </c>
      <c r="N13" s="2401" t="s">
        <v>438</v>
      </c>
      <c r="O13" s="2401" t="s">
        <v>604</v>
      </c>
      <c r="P13" s="2401" t="s">
        <v>438</v>
      </c>
      <c r="Q13" s="2401" t="s">
        <v>604</v>
      </c>
      <c r="R13" s="2401" t="s">
        <v>438</v>
      </c>
      <c r="S13" s="2401" t="s">
        <v>604</v>
      </c>
      <c r="T13" s="2401" t="s">
        <v>438</v>
      </c>
      <c r="U13" s="2401" t="s">
        <v>604</v>
      </c>
      <c r="V13" s="2401" t="s">
        <v>438</v>
      </c>
      <c r="W13" s="2401" t="s">
        <v>604</v>
      </c>
      <c r="X13" s="2401" t="s">
        <v>438</v>
      </c>
      <c r="Y13" s="2401" t="s">
        <v>604</v>
      </c>
      <c r="Z13" s="2401" t="s">
        <v>438</v>
      </c>
      <c r="AA13" s="2401" t="s">
        <v>604</v>
      </c>
      <c r="AB13" s="2401" t="s">
        <v>438</v>
      </c>
      <c r="AC13" s="2401" t="s">
        <v>604</v>
      </c>
      <c r="AD13" s="2401" t="s">
        <v>438</v>
      </c>
      <c r="AE13" s="2401" t="s">
        <v>604</v>
      </c>
      <c r="AF13" s="2401" t="s">
        <v>438</v>
      </c>
      <c r="AG13" s="2401" t="s">
        <v>604</v>
      </c>
      <c r="AH13" s="2401" t="s">
        <v>438</v>
      </c>
      <c r="AI13" s="2401" t="s">
        <v>604</v>
      </c>
      <c r="AL13"/>
    </row>
    <row r="14" spans="2:63">
      <c r="B14" s="2430">
        <f>+E8</f>
        <v>1.22</v>
      </c>
      <c r="C14" s="2400">
        <f>+ROUND(B14/M8+1,)*2</f>
        <v>10</v>
      </c>
      <c r="D14" s="2400">
        <f>+E8</f>
        <v>1.22</v>
      </c>
      <c r="E14" s="2400">
        <f>+ROUND(D14/U8+1,)*2</f>
        <v>10</v>
      </c>
      <c r="F14" s="2400">
        <f>+E8</f>
        <v>1.22</v>
      </c>
      <c r="G14" s="2400">
        <f>+ROUND(F14/W8+1,)*2</f>
        <v>10</v>
      </c>
      <c r="H14" s="2400">
        <f>+E8</f>
        <v>1.22</v>
      </c>
      <c r="I14" s="2400">
        <f>+ROUND(H14/Y8+1,)*2</f>
        <v>10</v>
      </c>
      <c r="J14" s="2756">
        <f>+B14*C14+D14*E14+F14*G14+H14*I14</f>
        <v>48.8</v>
      </c>
      <c r="K14" s="2757"/>
      <c r="L14" s="2415">
        <f>+(J8*2+K8*2+I8*4)</f>
        <v>6.1999999999999993</v>
      </c>
      <c r="M14" s="1051">
        <f>+ROUND(G4/M8+1,)</f>
        <v>7</v>
      </c>
      <c r="N14" s="1052">
        <f>+K8+I8*2</f>
        <v>1.5</v>
      </c>
      <c r="O14" s="2414">
        <f>+ROUND(G4/O8+1,)*2</f>
        <v>14</v>
      </c>
      <c r="P14" s="1052">
        <f>+G4*2+I8*2+J8</f>
        <v>5.6</v>
      </c>
      <c r="Q14" s="1051">
        <f>+ROUND((K8+I8*2)/Q8+1,)</f>
        <v>6</v>
      </c>
      <c r="R14" s="1052">
        <f>+G4</f>
        <v>1.85</v>
      </c>
      <c r="S14" s="2414">
        <f>+ROUND(K8/S8+1,)*2</f>
        <v>10</v>
      </c>
      <c r="T14" s="1052">
        <f>+J8+I8*2</f>
        <v>1.9000000000000001</v>
      </c>
      <c r="U14" s="2414">
        <f>+ROUND(G4/U8+1,)*2</f>
        <v>14</v>
      </c>
      <c r="V14" s="1052">
        <f>+G4*2+K8+I8*2</f>
        <v>5.2</v>
      </c>
      <c r="W14" s="2414">
        <f>+ROUND(J8/W8+1,)</f>
        <v>6</v>
      </c>
      <c r="X14" s="1052">
        <f>+G4</f>
        <v>1.85</v>
      </c>
      <c r="Y14" s="2414">
        <f>+ROUND(J8/Y8+1,)*2</f>
        <v>12</v>
      </c>
      <c r="Z14" s="1052">
        <f>+K8+I8*2</f>
        <v>1.5</v>
      </c>
      <c r="AA14" s="2414">
        <f>+ROUND(J8/AA8+1,)</f>
        <v>6</v>
      </c>
      <c r="AB14" s="1052">
        <f>+J8+I8*2</f>
        <v>1.9000000000000001</v>
      </c>
      <c r="AC14" s="2414">
        <f>+ROUND((K8+I8*2)/AC8+1,)</f>
        <v>6</v>
      </c>
      <c r="AD14" s="1052">
        <f>+K8</f>
        <v>1.2</v>
      </c>
      <c r="AE14" s="2414">
        <f>+ROUND(K8/AE8+1,)*2</f>
        <v>18</v>
      </c>
      <c r="AF14" s="1052">
        <f>+J8+K8+I8*4</f>
        <v>3.4</v>
      </c>
      <c r="AG14" s="1051">
        <f>+AF8</f>
        <v>3</v>
      </c>
      <c r="AH14" s="1051">
        <f>+AH8</f>
        <v>3.83</v>
      </c>
      <c r="AI14" s="1051">
        <f>+AI8</f>
        <v>4</v>
      </c>
      <c r="AL14"/>
    </row>
    <row r="15" spans="2:63" ht="23.25" customHeight="1">
      <c r="B15" s="2755" t="s">
        <v>2102</v>
      </c>
      <c r="C15" s="2755"/>
      <c r="D15" s="2755" t="s">
        <v>606</v>
      </c>
      <c r="E15" s="2755"/>
      <c r="F15" s="2752" t="s">
        <v>2109</v>
      </c>
      <c r="G15" s="2752"/>
      <c r="H15" s="2752" t="s">
        <v>182</v>
      </c>
      <c r="I15" s="2752"/>
      <c r="J15" s="2752" t="s">
        <v>2110</v>
      </c>
      <c r="K15" s="2752"/>
      <c r="L15" s="2752" t="s">
        <v>2111</v>
      </c>
      <c r="M15" s="2752"/>
      <c r="N15" s="2421" t="s">
        <v>283</v>
      </c>
      <c r="O15" s="2422">
        <f>+H4*2+I4*2+I8*8</f>
        <v>6.8</v>
      </c>
      <c r="P15"/>
      <c r="Q15"/>
      <c r="R15"/>
      <c r="S15"/>
      <c r="AL15"/>
    </row>
    <row r="16" spans="2:63" ht="23.25" customHeight="1">
      <c r="B16" s="2751">
        <f>+L14*M14+N14*O14+P14*Q14+R14*S14+T14*U14+V14*W14+X14*Y14+Z14*AA14+AB14*AC14</f>
        <v>216.9</v>
      </c>
      <c r="C16" s="2751"/>
      <c r="D16" s="2751">
        <f>+IF(AD8=12,AD14*AE14,)+IF(AG8=12,AF14*AG14,)</f>
        <v>10.199999999999999</v>
      </c>
      <c r="E16" s="2751"/>
      <c r="F16" s="2752" t="s">
        <v>440</v>
      </c>
      <c r="G16" s="2752"/>
      <c r="H16" s="2753">
        <f>+B16-J14+AJ8*AK8+AJ9*AK9+AJ11*AK11+AJ12*AK12+2.2</f>
        <v>223.50000000000003</v>
      </c>
      <c r="I16" s="2753"/>
      <c r="J16" s="2750">
        <v>0.499</v>
      </c>
      <c r="K16" s="2750"/>
      <c r="L16" s="2750">
        <f>+ROUND(H16*J16,2)</f>
        <v>111.53</v>
      </c>
      <c r="M16" s="2750"/>
      <c r="N16" s="2421" t="s">
        <v>2118</v>
      </c>
      <c r="O16" s="2422">
        <f>0.9*4+0.88*6</f>
        <v>8.8800000000000008</v>
      </c>
      <c r="P16" s="2752" t="s">
        <v>2110</v>
      </c>
      <c r="Q16" s="2752"/>
      <c r="R16" s="2752" t="s">
        <v>2111</v>
      </c>
      <c r="S16" s="2752"/>
      <c r="AL16"/>
    </row>
    <row r="17" spans="1:57" s="1054" customFormat="1" ht="23.25" customHeight="1">
      <c r="B17" s="2755" t="s">
        <v>2103</v>
      </c>
      <c r="C17" s="2755"/>
      <c r="D17" s="2755" t="s">
        <v>2108</v>
      </c>
      <c r="E17" s="2755"/>
      <c r="F17" s="2752" t="s">
        <v>606</v>
      </c>
      <c r="G17" s="2752"/>
      <c r="H17" s="2753">
        <f>+D16</f>
        <v>10.199999999999999</v>
      </c>
      <c r="I17" s="2750"/>
      <c r="J17" s="2750">
        <v>0.88800000000000001</v>
      </c>
      <c r="K17" s="2750"/>
      <c r="L17" s="2750">
        <f t="shared" ref="L17:L18" si="0">+ROUND(H17*J17,2)</f>
        <v>9.06</v>
      </c>
      <c r="M17" s="2750"/>
      <c r="N17" s="2421" t="s">
        <v>2119</v>
      </c>
      <c r="O17" s="2422">
        <f>+(0.25*2+0.3+0.1)*ROUND((F8/0.3+1)+1,)</f>
        <v>3.6</v>
      </c>
      <c r="P17" s="2750">
        <v>2.23</v>
      </c>
      <c r="Q17" s="2750"/>
      <c r="R17" s="2750">
        <f>+ROUND(O17*P17,2)</f>
        <v>8.0299999999999994</v>
      </c>
      <c r="S17" s="2750"/>
      <c r="T17" s="1050"/>
      <c r="U17" s="1050"/>
      <c r="V17" s="1050"/>
      <c r="W17" s="1050"/>
      <c r="X17" s="1050"/>
      <c r="Y17" s="1050"/>
      <c r="Z17" s="1050"/>
      <c r="AA17" s="1050"/>
      <c r="AB17" s="1050"/>
      <c r="AC17" s="1050"/>
      <c r="AD17" s="1050"/>
      <c r="AE17" s="1050"/>
      <c r="AF17" s="1050"/>
      <c r="AG17" s="1050"/>
      <c r="AH17" s="1050"/>
      <c r="AI17" s="1050"/>
      <c r="AJ17" s="1050"/>
      <c r="AK17" s="1050"/>
      <c r="AL17"/>
    </row>
    <row r="18" spans="1:57" customFormat="1">
      <c r="B18" s="2751">
        <f>+IF(AD8=9,AD14*AE14,)</f>
        <v>21.599999999999998</v>
      </c>
      <c r="C18" s="2751"/>
      <c r="D18" s="2751">
        <f>+IF(AG8=16,AF14*AG14,)</f>
        <v>0</v>
      </c>
      <c r="E18" s="2751"/>
      <c r="F18" s="2752" t="s">
        <v>2108</v>
      </c>
      <c r="G18" s="2752"/>
      <c r="H18" s="2753">
        <f>+D18</f>
        <v>0</v>
      </c>
      <c r="I18" s="2750"/>
      <c r="J18" s="2754">
        <v>1.58</v>
      </c>
      <c r="K18" s="2754"/>
      <c r="L18" s="2750">
        <f t="shared" si="0"/>
        <v>0</v>
      </c>
      <c r="M18" s="2750"/>
      <c r="N18" s="2421" t="s">
        <v>2120</v>
      </c>
      <c r="O18" s="2422">
        <f>+(0.22*2+0.15)*4+9.8</f>
        <v>12.16</v>
      </c>
      <c r="P18" s="2750">
        <v>1.39</v>
      </c>
      <c r="Q18" s="2750"/>
      <c r="R18" s="2750">
        <f>+ROUND(O18*P18,2)</f>
        <v>16.899999999999999</v>
      </c>
      <c r="S18" s="2750"/>
      <c r="T18" s="1054"/>
      <c r="U18" s="1054"/>
      <c r="V18" s="1054"/>
      <c r="W18" s="1054"/>
      <c r="X18" s="1054"/>
      <c r="Y18" s="1054"/>
      <c r="Z18" s="1054"/>
      <c r="AA18" s="1054"/>
      <c r="AB18" s="1054"/>
      <c r="AC18" s="1054"/>
      <c r="AD18" s="1054"/>
      <c r="AE18" s="1054"/>
      <c r="AF18" s="1054"/>
      <c r="AG18" s="1054"/>
      <c r="AH18" s="1054"/>
      <c r="AI18" s="1054"/>
      <c r="AJ18" s="1054"/>
      <c r="AK18" s="1054"/>
      <c r="AM18" s="1050"/>
      <c r="AN18" s="1050"/>
      <c r="AO18" s="1050"/>
      <c r="AP18" s="1050"/>
      <c r="AQ18" s="1050"/>
      <c r="AR18" s="1050"/>
      <c r="AS18" s="1050"/>
      <c r="AT18" s="1050"/>
      <c r="AU18" s="1050"/>
      <c r="AV18" s="1050"/>
      <c r="AW18" s="1050"/>
      <c r="AX18" s="1050"/>
      <c r="AY18" s="1050"/>
      <c r="AZ18" s="1050"/>
      <c r="BA18" s="1050"/>
      <c r="BB18" s="1050"/>
      <c r="BC18" s="1050"/>
      <c r="BD18" s="1050"/>
      <c r="BE18" s="1050"/>
    </row>
    <row r="19" spans="1:57" s="2431" customFormat="1">
      <c r="B19" s="2432"/>
      <c r="C19" s="2432"/>
      <c r="D19" s="2432"/>
      <c r="E19" s="2432"/>
      <c r="F19" s="2433"/>
      <c r="G19" s="2433"/>
      <c r="H19" s="2432"/>
      <c r="I19" s="2434"/>
      <c r="J19" s="2435"/>
      <c r="K19" s="2435"/>
      <c r="L19" s="2434"/>
      <c r="M19" s="2434"/>
      <c r="N19" s="2421" t="s">
        <v>608</v>
      </c>
      <c r="O19" s="2422">
        <f>+(0.9*2+0.25*2)*2+0.15*10</f>
        <v>6.1</v>
      </c>
      <c r="P19" s="2750">
        <v>0.222</v>
      </c>
      <c r="Q19" s="2750"/>
      <c r="R19" s="2750">
        <f>+ROUND(O19*P19,2)</f>
        <v>1.35</v>
      </c>
      <c r="S19" s="2750"/>
      <c r="T19" s="2436"/>
      <c r="U19" s="2436"/>
      <c r="V19" s="2436"/>
      <c r="W19" s="2436"/>
      <c r="X19" s="2436"/>
      <c r="Y19" s="2436"/>
      <c r="Z19" s="2436"/>
      <c r="AA19" s="2436"/>
      <c r="AB19" s="2436"/>
      <c r="AC19" s="2436"/>
      <c r="AD19" s="2436"/>
      <c r="AE19" s="2436"/>
      <c r="AF19" s="2436"/>
      <c r="AG19" s="2436"/>
      <c r="AH19" s="2436"/>
      <c r="AI19" s="2436"/>
      <c r="AJ19" s="2436"/>
      <c r="AK19" s="2436"/>
      <c r="AM19" s="2437"/>
      <c r="AN19" s="2437"/>
      <c r="AO19" s="2437"/>
      <c r="AP19" s="2437"/>
      <c r="AQ19" s="2437"/>
      <c r="AR19" s="2437"/>
      <c r="AS19" s="2437"/>
      <c r="AT19" s="2437"/>
      <c r="AU19" s="2437"/>
      <c r="AV19" s="2437"/>
      <c r="AW19" s="2437"/>
      <c r="AX19" s="2437"/>
      <c r="AY19" s="2437"/>
      <c r="AZ19" s="2437"/>
      <c r="BA19" s="2437"/>
      <c r="BB19" s="2437"/>
      <c r="BC19" s="2437"/>
      <c r="BD19" s="2437"/>
      <c r="BE19" s="2437"/>
    </row>
    <row r="20" spans="1:57" customFormat="1" ht="27.75">
      <c r="A20" s="1050"/>
      <c r="B20" s="1059" t="s">
        <v>2114</v>
      </c>
      <c r="C20" s="1050"/>
      <c r="D20" s="1050"/>
      <c r="E20" s="1050"/>
      <c r="F20" s="1050"/>
      <c r="G20" s="2418" t="s">
        <v>2112</v>
      </c>
      <c r="H20" s="2420">
        <v>2.5</v>
      </c>
      <c r="I20" s="1050"/>
      <c r="J20" s="1050"/>
      <c r="K20" s="1050"/>
      <c r="L20" s="1050"/>
      <c r="M20" s="1050"/>
      <c r="N20" s="1050"/>
      <c r="O20" s="1050"/>
      <c r="P20" s="1050"/>
      <c r="Q20" s="1050"/>
      <c r="R20" s="1050"/>
      <c r="X20" s="1050"/>
      <c r="Y20" s="1050"/>
      <c r="Z20" s="1050"/>
      <c r="AA20" s="1050"/>
      <c r="AB20" s="1050"/>
      <c r="AC20" s="1050"/>
      <c r="AD20" s="1050"/>
      <c r="AE20" s="1050"/>
      <c r="AF20" s="1050"/>
      <c r="AG20" s="1050"/>
      <c r="AH20" s="1050"/>
      <c r="AI20" s="1050"/>
      <c r="AJ20" s="1050"/>
      <c r="AK20" s="1050"/>
      <c r="AL20" s="1050"/>
      <c r="AM20" s="1050"/>
      <c r="AN20" s="1050"/>
      <c r="AO20" s="1050"/>
      <c r="AP20" s="1050"/>
      <c r="AQ20" s="1050"/>
      <c r="AR20" s="1050"/>
      <c r="AS20" s="1050"/>
      <c r="AT20" s="1050"/>
      <c r="AU20" s="1050"/>
      <c r="AV20" s="1050"/>
      <c r="AW20" s="1050"/>
      <c r="AX20" s="1050"/>
      <c r="AY20" s="1050"/>
      <c r="AZ20" s="1050"/>
      <c r="BA20" s="1050"/>
      <c r="BB20" s="1050"/>
      <c r="BC20" s="1050"/>
      <c r="BD20" s="1050"/>
      <c r="BE20" s="1050"/>
    </row>
    <row r="21" spans="1:57" customFormat="1">
      <c r="A21" s="1050"/>
      <c r="B21" s="2773" t="s">
        <v>551</v>
      </c>
      <c r="C21" s="2773" t="s">
        <v>712</v>
      </c>
      <c r="D21" s="2773" t="s">
        <v>294</v>
      </c>
      <c r="E21" s="2773" t="s">
        <v>2076</v>
      </c>
      <c r="F21" s="2773" t="s">
        <v>2098</v>
      </c>
      <c r="G21" s="2773" t="s">
        <v>2091</v>
      </c>
      <c r="H21" s="2773" t="s">
        <v>713</v>
      </c>
      <c r="I21" s="2773"/>
      <c r="J21" s="2774" t="s">
        <v>282</v>
      </c>
      <c r="K21" s="2775"/>
      <c r="L21" s="2775"/>
      <c r="M21" s="2775"/>
      <c r="N21" s="2775"/>
      <c r="O21" s="2775"/>
      <c r="P21" s="2776"/>
      <c r="Q21" s="2773" t="s">
        <v>716</v>
      </c>
      <c r="R21" s="2773" t="s">
        <v>585</v>
      </c>
    </row>
    <row r="22" spans="1:57" customFormat="1" ht="48">
      <c r="A22" s="1050"/>
      <c r="B22" s="2773"/>
      <c r="C22" s="2773"/>
      <c r="D22" s="2773"/>
      <c r="E22" s="2773"/>
      <c r="F22" s="2773"/>
      <c r="G22" s="2773"/>
      <c r="H22" s="2399" t="s">
        <v>607</v>
      </c>
      <c r="I22" s="1058" t="s">
        <v>280</v>
      </c>
      <c r="J22" s="2399" t="s">
        <v>2097</v>
      </c>
      <c r="K22" s="2399" t="s">
        <v>714</v>
      </c>
      <c r="L22" s="1058" t="s">
        <v>715</v>
      </c>
      <c r="M22" s="1058" t="s">
        <v>2099</v>
      </c>
      <c r="N22" s="1058" t="s">
        <v>2100</v>
      </c>
      <c r="O22" s="1058" t="s">
        <v>2101</v>
      </c>
      <c r="P22" s="1058" t="s">
        <v>28</v>
      </c>
      <c r="Q22" s="2773"/>
      <c r="R22" s="2773"/>
    </row>
    <row r="23" spans="1:57" customFormat="1">
      <c r="A23" s="1050"/>
      <c r="B23" s="1053">
        <f>VLOOKUP($X$2,$B$28:$C$31,2)</f>
        <v>1</v>
      </c>
      <c r="C23" s="1052">
        <f>+$E$27</f>
        <v>1.22</v>
      </c>
      <c r="D23" s="1051">
        <f>ROUND((22/7*C23^2)/4,3)</f>
        <v>1.169</v>
      </c>
      <c r="E23" s="1052">
        <f>ROUND($D$27*($J$27+0.3)*($K$27+0.3),3)</f>
        <v>7.125</v>
      </c>
      <c r="F23" s="1053">
        <v>0.3</v>
      </c>
      <c r="G23" s="1052">
        <f>+$D$27-0.65</f>
        <v>1.85</v>
      </c>
      <c r="H23" s="1052">
        <f>+$J$27</f>
        <v>1.6</v>
      </c>
      <c r="I23" s="1052">
        <f>+$K$27</f>
        <v>1.2</v>
      </c>
      <c r="J23" s="1051">
        <f>ROUND($I$23*$G$23*$I$27,2)</f>
        <v>0.33</v>
      </c>
      <c r="K23" s="1052">
        <f>ROUND(($H$23*$G$23-$D$23)*$I$27*3,2)</f>
        <v>0.81</v>
      </c>
      <c r="L23" s="1051">
        <f>ROUND($H$23*$I$23*$I$27,3)</f>
        <v>0.28799999999999998</v>
      </c>
      <c r="M23" s="1052">
        <f>ROUND((((H23+I27*2)*(I23+I27*2))-(0.8*0.8))*0.12,2)</f>
        <v>0.27</v>
      </c>
      <c r="N23" s="1052">
        <f>ROUND((1.1*1+0.8*2)*$I$27,2)</f>
        <v>0.41</v>
      </c>
      <c r="O23" s="1052">
        <f>ROUND((0.87*0.87)*0.075,2)</f>
        <v>0.06</v>
      </c>
      <c r="P23" s="1052">
        <f>SUM(J23:O23)</f>
        <v>2.1680000000000001</v>
      </c>
      <c r="Q23" s="1051">
        <f>ROUND(0.05*($J$27+0.3)*($K$27+0.3),2)</f>
        <v>0.14000000000000001</v>
      </c>
      <c r="R23" s="1051">
        <f>ROUND(0.1*($J$27+0.3)*($K$27+0.3),2)</f>
        <v>0.28999999999999998</v>
      </c>
    </row>
    <row r="24" spans="1:57" customFormat="1">
      <c r="A24" s="1050"/>
      <c r="B24" s="1050"/>
      <c r="C24" s="1050"/>
      <c r="D24" s="1050"/>
      <c r="E24" s="1050"/>
      <c r="F24" s="1050"/>
      <c r="G24" s="1050"/>
      <c r="H24" s="1050"/>
      <c r="I24" s="1050"/>
      <c r="J24" s="1050"/>
      <c r="K24" s="1050"/>
      <c r="L24" s="1050"/>
      <c r="M24" s="1050"/>
      <c r="N24" s="1050"/>
      <c r="O24" s="1050"/>
      <c r="P24" s="1050"/>
      <c r="Q24" s="1050"/>
      <c r="R24" s="1050"/>
    </row>
    <row r="25" spans="1:57" customFormat="1">
      <c r="B25" s="2769" t="s">
        <v>604</v>
      </c>
      <c r="C25" s="2769" t="s">
        <v>2092</v>
      </c>
      <c r="D25" s="2758" t="s">
        <v>274</v>
      </c>
      <c r="E25" s="2771" t="s">
        <v>2088</v>
      </c>
      <c r="F25" s="2758" t="s">
        <v>2086</v>
      </c>
      <c r="G25" s="2768" t="s">
        <v>2089</v>
      </c>
      <c r="H25" s="2758" t="s">
        <v>416</v>
      </c>
      <c r="I25" s="2758" t="s">
        <v>2090</v>
      </c>
      <c r="J25" s="2765" t="s">
        <v>713</v>
      </c>
      <c r="K25" s="2766"/>
      <c r="L25" s="2765">
        <v>1</v>
      </c>
      <c r="M25" s="2766"/>
      <c r="N25" s="2765">
        <f>+L25+1</f>
        <v>2</v>
      </c>
      <c r="O25" s="2766"/>
      <c r="P25" s="2765">
        <f>+N25+1</f>
        <v>3</v>
      </c>
      <c r="Q25" s="2766"/>
      <c r="R25" s="2765">
        <f t="shared" ref="R25" si="1">+P25+1</f>
        <v>4</v>
      </c>
      <c r="S25" s="2766"/>
      <c r="T25" s="2765">
        <f t="shared" ref="T25" si="2">+R25+1</f>
        <v>5</v>
      </c>
      <c r="U25" s="2766"/>
      <c r="V25" s="2765">
        <f t="shared" ref="V25" si="3">+T25+1</f>
        <v>6</v>
      </c>
      <c r="W25" s="2766"/>
      <c r="X25" s="2765">
        <f t="shared" ref="X25" si="4">+V25+1</f>
        <v>7</v>
      </c>
      <c r="Y25" s="2766"/>
      <c r="Z25" s="2767">
        <f t="shared" ref="Z25" si="5">+X25+1</f>
        <v>8</v>
      </c>
      <c r="AA25" s="2767"/>
      <c r="AB25" s="2767">
        <f t="shared" ref="AB25" si="6">+Z25+1</f>
        <v>9</v>
      </c>
      <c r="AC25" s="2767"/>
      <c r="AD25" s="2767">
        <f t="shared" ref="AD25" si="7">+AB25+1</f>
        <v>10</v>
      </c>
      <c r="AE25" s="2767"/>
      <c r="AF25" s="2767">
        <f t="shared" ref="AF25" si="8">+AD25+1</f>
        <v>11</v>
      </c>
      <c r="AG25" s="2767"/>
      <c r="AH25" s="2758" t="s">
        <v>2105</v>
      </c>
      <c r="AI25" s="2758"/>
      <c r="AJ25" s="2758" t="s">
        <v>2106</v>
      </c>
      <c r="AK25" s="2758"/>
      <c r="AL25" s="1050"/>
      <c r="AM25" s="1050"/>
      <c r="AN25" s="1050"/>
      <c r="AO25" s="1050"/>
      <c r="AP25" s="1050"/>
      <c r="AQ25" s="1050"/>
      <c r="AR25" s="1050"/>
      <c r="AS25" s="1050"/>
      <c r="AT25" s="1050"/>
      <c r="AU25" s="1050"/>
      <c r="AV25" s="1050"/>
      <c r="AW25" s="1050"/>
      <c r="AX25" s="1050"/>
      <c r="AY25" s="1050"/>
      <c r="AZ25" s="1050"/>
      <c r="BA25" s="1050"/>
      <c r="BB25" s="1050"/>
      <c r="BC25" s="1050"/>
      <c r="BD25" s="2416"/>
      <c r="BE25" s="2416"/>
    </row>
    <row r="26" spans="1:57" customFormat="1">
      <c r="B26" s="2770"/>
      <c r="C26" s="2770"/>
      <c r="D26" s="2758"/>
      <c r="E26" s="2772"/>
      <c r="F26" s="2758"/>
      <c r="G26" s="2758"/>
      <c r="H26" s="2758"/>
      <c r="I26" s="2758"/>
      <c r="J26" s="2423" t="s">
        <v>607</v>
      </c>
      <c r="K26" s="2423" t="s">
        <v>280</v>
      </c>
      <c r="L26" s="2424" t="s">
        <v>605</v>
      </c>
      <c r="M26" s="2425" t="s">
        <v>279</v>
      </c>
      <c r="N26" s="2424" t="s">
        <v>605</v>
      </c>
      <c r="O26" s="2425" t="s">
        <v>279</v>
      </c>
      <c r="P26" s="2424" t="s">
        <v>605</v>
      </c>
      <c r="Q26" s="2425" t="s">
        <v>279</v>
      </c>
      <c r="R26" s="2424" t="s">
        <v>605</v>
      </c>
      <c r="S26" s="2425" t="s">
        <v>279</v>
      </c>
      <c r="T26" s="2424" t="s">
        <v>605</v>
      </c>
      <c r="U26" s="2425" t="s">
        <v>279</v>
      </c>
      <c r="V26" s="2424" t="s">
        <v>605</v>
      </c>
      <c r="W26" s="2425" t="s">
        <v>279</v>
      </c>
      <c r="X26" s="2424" t="s">
        <v>605</v>
      </c>
      <c r="Y26" s="2425" t="s">
        <v>279</v>
      </c>
      <c r="Z26" s="2424" t="s">
        <v>605</v>
      </c>
      <c r="AA26" s="2425" t="s">
        <v>279</v>
      </c>
      <c r="AB26" s="2424" t="s">
        <v>605</v>
      </c>
      <c r="AC26" s="2425" t="s">
        <v>279</v>
      </c>
      <c r="AD26" s="2424" t="s">
        <v>605</v>
      </c>
      <c r="AE26" s="2425" t="s">
        <v>279</v>
      </c>
      <c r="AF26" s="2424" t="s">
        <v>605</v>
      </c>
      <c r="AG26" s="2425" t="s">
        <v>279</v>
      </c>
      <c r="AH26" s="2425" t="s">
        <v>438</v>
      </c>
      <c r="AI26" s="2425" t="s">
        <v>22</v>
      </c>
      <c r="AJ26" s="2425" t="s">
        <v>438</v>
      </c>
      <c r="AK26" s="2425" t="s">
        <v>22</v>
      </c>
      <c r="AL26" s="1050"/>
      <c r="AM26" s="1050"/>
      <c r="AN26" s="1050"/>
      <c r="AO26" s="1050"/>
      <c r="AP26" s="1050"/>
      <c r="AQ26" s="1050"/>
      <c r="AR26" s="1050"/>
      <c r="AS26" s="1050"/>
      <c r="AT26" s="1050"/>
      <c r="AU26" s="1050"/>
      <c r="AV26" s="1050"/>
      <c r="AW26" s="1050"/>
      <c r="AX26" s="1050"/>
      <c r="AY26" s="1050"/>
      <c r="AZ26" s="1050"/>
      <c r="BA26" s="1050"/>
      <c r="BB26" s="1050"/>
      <c r="BC26" s="1050"/>
    </row>
    <row r="27" spans="1:57" customFormat="1">
      <c r="B27" s="2426">
        <f>VLOOKUP($X$2,$B$28:$AG$31,1)</f>
        <v>3</v>
      </c>
      <c r="C27" s="2427">
        <f>VLOOKUP($X$2,$B$28:$AG$31,2)</f>
        <v>1</v>
      </c>
      <c r="D27" s="2427">
        <f>+H20</f>
        <v>2.5</v>
      </c>
      <c r="E27" s="2428">
        <f>VLOOKUP($X$2,$B$28:$AG$31,4)</f>
        <v>1.22</v>
      </c>
      <c r="F27" s="2428">
        <f>VLOOKUP($X$2,$B$28:$AG$31,5)</f>
        <v>0.65999999999999992</v>
      </c>
      <c r="G27" s="2428">
        <f>VLOOKUP($X$2,$B$28:$AG$31,6)</f>
        <v>0.65999999999999992</v>
      </c>
      <c r="H27" s="2428">
        <f>VLOOKUP($X$2,$B$28:$AG$31,7)</f>
        <v>0.22</v>
      </c>
      <c r="I27" s="2428">
        <f>VLOOKUP($X$2,$B$28:$AG$31,8)</f>
        <v>0.15</v>
      </c>
      <c r="J27" s="2427">
        <f>VLOOKUP($X$2,$B$28:$AG$31,9)</f>
        <v>1.6</v>
      </c>
      <c r="K27" s="2427">
        <f>VLOOKUP($X$2,$B$28:$AG$31,10)</f>
        <v>1.2</v>
      </c>
      <c r="L27" s="2428">
        <f>VLOOKUP($X$2,$B$28:$AG$31,11)</f>
        <v>9</v>
      </c>
      <c r="M27" s="2428">
        <f>VLOOKUP($X$2,$B$28:$AG$31,12)</f>
        <v>0.3</v>
      </c>
      <c r="N27" s="2428">
        <f>VLOOKUP($X$2,$B$28:$AG$31,13)</f>
        <v>9</v>
      </c>
      <c r="O27" s="2428">
        <f>VLOOKUP($X$2,$B$28:$AG$31,14)</f>
        <v>0.3</v>
      </c>
      <c r="P27" s="2428">
        <f>VLOOKUP($X$2,$B$28:$AG$31,15)</f>
        <v>9</v>
      </c>
      <c r="Q27" s="2428">
        <f>VLOOKUP($X$2,$B$28:$AG$31,16)</f>
        <v>0.3</v>
      </c>
      <c r="R27" s="2428">
        <f>VLOOKUP($X$2,$B$28:$AG$31,17)</f>
        <v>9</v>
      </c>
      <c r="S27" s="2428">
        <f>VLOOKUP($X$2,$B$28:$AG$31,18)</f>
        <v>0.3</v>
      </c>
      <c r="T27" s="2428">
        <f>VLOOKUP($X$2,$B$28:$AG$31,19)</f>
        <v>9</v>
      </c>
      <c r="U27" s="2428">
        <f>VLOOKUP($X$2,$B$28:$AG$31,20)</f>
        <v>0.3</v>
      </c>
      <c r="V27" s="2428">
        <f>VLOOKUP($X$2,$B$28:$AG$31,21)</f>
        <v>9</v>
      </c>
      <c r="W27" s="2428">
        <f>VLOOKUP($X$2,$B$28:$AG$31,22)</f>
        <v>0.3</v>
      </c>
      <c r="X27" s="2428">
        <f>VLOOKUP($X$2,$B$28:$AG$31,23)</f>
        <v>9</v>
      </c>
      <c r="Y27" s="2428">
        <f>VLOOKUP($X$2,$B$28:$AG$31,24)</f>
        <v>0.3</v>
      </c>
      <c r="Z27" s="2428">
        <f>VLOOKUP($X$2,$B$28:$AG$31,25)</f>
        <v>9</v>
      </c>
      <c r="AA27" s="2428">
        <f>VLOOKUP($X$2,$B$28:$AG$31,26)</f>
        <v>0.3</v>
      </c>
      <c r="AB27" s="2428">
        <f>VLOOKUP($X$2,$B$28:$AG$31,27)</f>
        <v>9</v>
      </c>
      <c r="AC27" s="2428">
        <f>VLOOKUP($X$2,$B$28:$AG$31,28)</f>
        <v>0.3</v>
      </c>
      <c r="AD27" s="2428">
        <f>VLOOKUP($X$2,$B$28:$AG$31,29)</f>
        <v>9</v>
      </c>
      <c r="AE27" s="2428">
        <f>VLOOKUP($X$2,$B$28:$AG$31,30)</f>
        <v>0.15</v>
      </c>
      <c r="AF27" s="2428">
        <f>VLOOKUP($X$2,$B$28:$AG$31,31)</f>
        <v>3</v>
      </c>
      <c r="AG27" s="2428">
        <f>VLOOKUP($X$2,$B$28:$AG$31,32)</f>
        <v>12</v>
      </c>
      <c r="AH27" s="2428">
        <f>VLOOKUP($X$2,$B$28:$AH$31,33)</f>
        <v>3.83</v>
      </c>
      <c r="AI27" s="2428">
        <f>VLOOKUP($X$2,$B$28:$AI$31,34)</f>
        <v>6</v>
      </c>
      <c r="AJ27" s="1052">
        <v>4.4000000000000004</v>
      </c>
      <c r="AK27" s="2414">
        <f>+ROUND(0.5/0.15+1,)</f>
        <v>4</v>
      </c>
      <c r="AL27" s="1050"/>
      <c r="AM27" s="1050"/>
      <c r="AN27" s="1050"/>
      <c r="AO27" s="1050"/>
      <c r="AP27" s="1050"/>
      <c r="AQ27" s="1050"/>
      <c r="AR27" s="1050"/>
      <c r="AS27" s="1050"/>
      <c r="AT27" s="1050"/>
      <c r="AU27" s="1050"/>
      <c r="AV27" s="1050"/>
      <c r="AW27" s="1050"/>
      <c r="AX27" s="1050"/>
      <c r="AY27" s="1050"/>
      <c r="AZ27" s="1050"/>
      <c r="BA27" s="1050"/>
      <c r="BB27" s="1050"/>
      <c r="BC27" s="1050"/>
    </row>
    <row r="28" spans="1:57" customFormat="1">
      <c r="B28" s="2406">
        <v>1</v>
      </c>
      <c r="C28" s="2407">
        <v>0.6</v>
      </c>
      <c r="D28" s="2407">
        <v>2.5</v>
      </c>
      <c r="E28" s="2407">
        <f>+C28+H28</f>
        <v>0.75</v>
      </c>
      <c r="F28" s="2407">
        <f>+D28-0.62-E28</f>
        <v>1.1299999999999999</v>
      </c>
      <c r="G28" s="2407">
        <f>+IF(F28&lt;0,"N",F28)</f>
        <v>1.1299999999999999</v>
      </c>
      <c r="H28" s="2407">
        <v>0.15</v>
      </c>
      <c r="I28" s="2407">
        <v>0.15</v>
      </c>
      <c r="J28" s="2407">
        <v>1.2</v>
      </c>
      <c r="K28" s="2407">
        <v>1</v>
      </c>
      <c r="L28" s="2406">
        <v>9</v>
      </c>
      <c r="M28" s="2407">
        <v>0.3</v>
      </c>
      <c r="N28" s="2406">
        <v>9</v>
      </c>
      <c r="O28" s="2407">
        <v>0.3</v>
      </c>
      <c r="P28" s="2406">
        <v>9</v>
      </c>
      <c r="Q28" s="2407">
        <v>0.3</v>
      </c>
      <c r="R28" s="2406">
        <v>9</v>
      </c>
      <c r="S28" s="2407">
        <v>0.3</v>
      </c>
      <c r="T28" s="2406">
        <v>9</v>
      </c>
      <c r="U28" s="2407">
        <v>0.3</v>
      </c>
      <c r="V28" s="2406">
        <v>9</v>
      </c>
      <c r="W28" s="2407">
        <v>0.3</v>
      </c>
      <c r="X28" s="2406">
        <v>9</v>
      </c>
      <c r="Y28" s="2407">
        <v>0.3</v>
      </c>
      <c r="Z28" s="2406">
        <v>9</v>
      </c>
      <c r="AA28" s="2407">
        <v>0.3</v>
      </c>
      <c r="AB28" s="2406">
        <v>9</v>
      </c>
      <c r="AC28" s="2407">
        <v>0.3</v>
      </c>
      <c r="AD28" s="2406">
        <v>9</v>
      </c>
      <c r="AE28" s="2407">
        <v>0.15</v>
      </c>
      <c r="AF28" s="2406">
        <v>3</v>
      </c>
      <c r="AG28" s="2408">
        <v>12</v>
      </c>
      <c r="AH28" s="2407">
        <f>ROUND(2*3.14285714285714*E28/2,2)</f>
        <v>2.36</v>
      </c>
      <c r="AI28" s="2408">
        <v>6</v>
      </c>
      <c r="AJ28" s="1051">
        <v>0.62</v>
      </c>
      <c r="AK28" s="2414">
        <f>+ROUND(1.1/0.15+1,)*4</f>
        <v>32</v>
      </c>
      <c r="AL28" s="1050"/>
      <c r="AM28" s="1050"/>
      <c r="AN28" s="1050"/>
      <c r="AO28" s="1050"/>
      <c r="AP28" s="1050"/>
      <c r="AQ28" s="1050"/>
      <c r="AR28" s="1050"/>
      <c r="AS28" s="1050"/>
      <c r="AT28" s="1050"/>
      <c r="AU28" s="1050"/>
      <c r="AV28" s="1050"/>
      <c r="AW28" s="1050"/>
      <c r="AX28" s="1050"/>
      <c r="AY28" s="1050"/>
      <c r="AZ28" s="1050"/>
      <c r="BA28" s="1050"/>
      <c r="BB28" s="1050"/>
      <c r="BC28" s="1050"/>
    </row>
    <row r="29" spans="1:57" customFormat="1">
      <c r="B29" s="2406">
        <v>2</v>
      </c>
      <c r="C29" s="2407">
        <v>0.8</v>
      </c>
      <c r="D29" s="2407">
        <f>+D28</f>
        <v>2.5</v>
      </c>
      <c r="E29" s="2407">
        <f>+C29+H29</f>
        <v>0.99</v>
      </c>
      <c r="F29" s="2407">
        <f t="shared" ref="F29:F31" si="9">+D29-0.62-E29</f>
        <v>0.8899999999999999</v>
      </c>
      <c r="G29" s="2407">
        <f>+IF(F29&lt;0,"N",F29)</f>
        <v>0.8899999999999999</v>
      </c>
      <c r="H29" s="2407">
        <f>0.095*2</f>
        <v>0.19</v>
      </c>
      <c r="I29" s="2407">
        <v>0.15</v>
      </c>
      <c r="J29" s="2407">
        <v>1.4</v>
      </c>
      <c r="K29" s="2407">
        <v>1</v>
      </c>
      <c r="L29" s="2406">
        <v>9</v>
      </c>
      <c r="M29" s="2407">
        <v>0.3</v>
      </c>
      <c r="N29" s="2406">
        <v>9</v>
      </c>
      <c r="O29" s="2407">
        <v>0.3</v>
      </c>
      <c r="P29" s="2406">
        <v>9</v>
      </c>
      <c r="Q29" s="2407">
        <v>0.3</v>
      </c>
      <c r="R29" s="2406">
        <v>9</v>
      </c>
      <c r="S29" s="2407">
        <v>0.3</v>
      </c>
      <c r="T29" s="2406">
        <v>9</v>
      </c>
      <c r="U29" s="2407">
        <v>0.3</v>
      </c>
      <c r="V29" s="2406">
        <v>9</v>
      </c>
      <c r="W29" s="2407">
        <v>0.3</v>
      </c>
      <c r="X29" s="2406">
        <v>9</v>
      </c>
      <c r="Y29" s="2407">
        <v>0.3</v>
      </c>
      <c r="Z29" s="2406">
        <v>9</v>
      </c>
      <c r="AA29" s="2407">
        <v>0.3</v>
      </c>
      <c r="AB29" s="2406">
        <v>9</v>
      </c>
      <c r="AC29" s="2407">
        <v>0.3</v>
      </c>
      <c r="AD29" s="2406">
        <v>9</v>
      </c>
      <c r="AE29" s="2407">
        <v>0.15</v>
      </c>
      <c r="AF29" s="2406">
        <v>3</v>
      </c>
      <c r="AG29" s="2408">
        <v>12</v>
      </c>
      <c r="AH29" s="2407">
        <f>ROUND(2*3.14285714285714*E29/2,2)</f>
        <v>3.11</v>
      </c>
      <c r="AI29" s="2408">
        <v>6</v>
      </c>
      <c r="AJ29" s="2759" t="s">
        <v>2107</v>
      </c>
      <c r="AK29" s="2759"/>
      <c r="AL29" s="1050"/>
      <c r="AM29" s="1050"/>
      <c r="AN29" s="1050"/>
      <c r="AO29" s="1050"/>
      <c r="AP29" s="1050"/>
      <c r="AQ29" s="1050"/>
      <c r="AR29" s="1050"/>
      <c r="AS29" s="1050"/>
      <c r="AT29" s="1050"/>
      <c r="AU29" s="1050"/>
      <c r="AV29" s="1050"/>
      <c r="AW29" s="1050"/>
      <c r="AX29" s="1050"/>
      <c r="AY29" s="1050"/>
      <c r="AZ29" s="1050"/>
      <c r="BA29" s="1050"/>
      <c r="BB29" s="1050"/>
      <c r="BC29" s="1050"/>
      <c r="BD29" s="2417"/>
      <c r="BE29" s="2417"/>
    </row>
    <row r="30" spans="1:57" customFormat="1">
      <c r="B30" s="2406">
        <v>3</v>
      </c>
      <c r="C30" s="2407">
        <v>1</v>
      </c>
      <c r="D30" s="2407">
        <f>+D29</f>
        <v>2.5</v>
      </c>
      <c r="E30" s="2407">
        <f>+C30+H30</f>
        <v>1.22</v>
      </c>
      <c r="F30" s="2407">
        <f t="shared" si="9"/>
        <v>0.65999999999999992</v>
      </c>
      <c r="G30" s="2407">
        <f>+IF(F30&lt;0,"N",F30)</f>
        <v>0.65999999999999992</v>
      </c>
      <c r="H30" s="2407">
        <f>0.11*2</f>
        <v>0.22</v>
      </c>
      <c r="I30" s="2407">
        <v>0.15</v>
      </c>
      <c r="J30" s="2407">
        <v>1.6</v>
      </c>
      <c r="K30" s="2407">
        <v>1.2</v>
      </c>
      <c r="L30" s="2406">
        <v>9</v>
      </c>
      <c r="M30" s="2407">
        <v>0.3</v>
      </c>
      <c r="N30" s="2406">
        <v>9</v>
      </c>
      <c r="O30" s="2407">
        <v>0.3</v>
      </c>
      <c r="P30" s="2406">
        <v>9</v>
      </c>
      <c r="Q30" s="2407">
        <v>0.3</v>
      </c>
      <c r="R30" s="2406">
        <v>9</v>
      </c>
      <c r="S30" s="2407">
        <v>0.3</v>
      </c>
      <c r="T30" s="2406">
        <v>9</v>
      </c>
      <c r="U30" s="2407">
        <v>0.3</v>
      </c>
      <c r="V30" s="2406">
        <v>9</v>
      </c>
      <c r="W30" s="2407">
        <v>0.3</v>
      </c>
      <c r="X30" s="2406">
        <v>9</v>
      </c>
      <c r="Y30" s="2407">
        <v>0.3</v>
      </c>
      <c r="Z30" s="2406">
        <v>9</v>
      </c>
      <c r="AA30" s="2407">
        <v>0.3</v>
      </c>
      <c r="AB30" s="2406">
        <v>9</v>
      </c>
      <c r="AC30" s="2407">
        <v>0.3</v>
      </c>
      <c r="AD30" s="2406">
        <v>9</v>
      </c>
      <c r="AE30" s="2407">
        <v>0.15</v>
      </c>
      <c r="AF30" s="2406">
        <v>3</v>
      </c>
      <c r="AG30" s="2408">
        <v>12</v>
      </c>
      <c r="AH30" s="2407">
        <f>ROUND(2*3.14285714285714*E30/2,2)</f>
        <v>3.83</v>
      </c>
      <c r="AI30" s="2408">
        <v>6</v>
      </c>
      <c r="AJ30" s="2419">
        <v>0.435</v>
      </c>
      <c r="AK30" s="2414">
        <f>8*2</f>
        <v>16</v>
      </c>
      <c r="AL30" s="1050"/>
      <c r="AM30" s="1050"/>
      <c r="AN30" s="1050"/>
      <c r="AO30" s="1050"/>
      <c r="AP30" s="1050"/>
      <c r="AQ30" s="1050"/>
      <c r="AR30" s="1050"/>
      <c r="AS30" s="1050"/>
      <c r="AT30" s="1050"/>
      <c r="AU30" s="1050"/>
      <c r="AV30" s="1050"/>
      <c r="AW30" s="1050"/>
      <c r="AX30" s="1050"/>
      <c r="AY30" s="1050"/>
      <c r="AZ30" s="1050"/>
      <c r="BA30" s="1050"/>
      <c r="BB30" s="1050"/>
      <c r="BC30" s="1050"/>
      <c r="BD30" s="2417"/>
      <c r="BE30" s="2417"/>
    </row>
    <row r="31" spans="1:57" customFormat="1">
      <c r="B31" s="2406">
        <v>4</v>
      </c>
      <c r="C31" s="2407">
        <v>1.2</v>
      </c>
      <c r="D31" s="2407">
        <f>+D30</f>
        <v>2.5</v>
      </c>
      <c r="E31" s="2407">
        <f>+C31+H31</f>
        <v>1.45</v>
      </c>
      <c r="F31" s="2407">
        <f t="shared" si="9"/>
        <v>0.42999999999999994</v>
      </c>
      <c r="G31" s="2407">
        <f>+IF(F31&lt;0,"N",F31)</f>
        <v>0.42999999999999994</v>
      </c>
      <c r="H31" s="2407">
        <f>0.125*2</f>
        <v>0.25</v>
      </c>
      <c r="I31" s="2407">
        <v>0.15</v>
      </c>
      <c r="J31" s="2407">
        <v>1.8</v>
      </c>
      <c r="K31" s="2407">
        <v>1.2</v>
      </c>
      <c r="L31" s="2406">
        <v>9</v>
      </c>
      <c r="M31" s="2407">
        <v>0.18</v>
      </c>
      <c r="N31" s="2406">
        <v>9</v>
      </c>
      <c r="O31" s="2407">
        <v>0.3</v>
      </c>
      <c r="P31" s="2406">
        <v>9</v>
      </c>
      <c r="Q31" s="2407">
        <v>0.18</v>
      </c>
      <c r="R31" s="2406">
        <v>9</v>
      </c>
      <c r="S31" s="2407">
        <v>0.3</v>
      </c>
      <c r="T31" s="2406">
        <v>9</v>
      </c>
      <c r="U31" s="2407">
        <v>0.3</v>
      </c>
      <c r="V31" s="2406">
        <v>9</v>
      </c>
      <c r="W31" s="2407">
        <v>0.24</v>
      </c>
      <c r="X31" s="2406">
        <v>9</v>
      </c>
      <c r="Y31" s="2407">
        <v>0.3</v>
      </c>
      <c r="Z31" s="2406">
        <v>9</v>
      </c>
      <c r="AA31" s="2407">
        <v>0.18</v>
      </c>
      <c r="AB31" s="2406">
        <v>9</v>
      </c>
      <c r="AC31" s="2407">
        <v>0.22</v>
      </c>
      <c r="AD31" s="2406">
        <v>12</v>
      </c>
      <c r="AE31" s="2407">
        <v>0.2</v>
      </c>
      <c r="AF31" s="2406">
        <v>2</v>
      </c>
      <c r="AG31" s="2408">
        <v>16</v>
      </c>
      <c r="AH31" s="2407">
        <f>ROUND(2*3.14285714285714*E31/2,2)</f>
        <v>4.5599999999999996</v>
      </c>
      <c r="AI31" s="2408">
        <v>6</v>
      </c>
      <c r="AJ31" s="1051">
        <v>0.88</v>
      </c>
      <c r="AK31" s="1051">
        <f>5*2</f>
        <v>10</v>
      </c>
      <c r="AL31" s="1050"/>
      <c r="AM31" s="1050"/>
      <c r="AN31" s="1050"/>
      <c r="AO31" s="1050"/>
      <c r="AP31" s="1050"/>
      <c r="AQ31" s="1050"/>
      <c r="AR31" s="1050"/>
      <c r="AS31" s="1050"/>
      <c r="AT31" s="1050"/>
      <c r="AU31" s="1050"/>
      <c r="AV31" s="1050"/>
      <c r="AW31" s="1050"/>
      <c r="AX31" s="1050"/>
      <c r="AY31" s="1050"/>
      <c r="AZ31" s="1050"/>
      <c r="BA31" s="1050"/>
      <c r="BB31" s="1050"/>
      <c r="BC31" s="1050"/>
      <c r="BD31" s="2417"/>
      <c r="BE31" s="2417"/>
    </row>
    <row r="32" spans="1:57" customFormat="1">
      <c r="B32" s="2760">
        <v>1</v>
      </c>
      <c r="C32" s="2761"/>
      <c r="D32" s="2760">
        <v>5</v>
      </c>
      <c r="E32" s="2761"/>
      <c r="F32" s="2760">
        <v>6</v>
      </c>
      <c r="G32" s="2761"/>
      <c r="H32" s="2762">
        <v>7</v>
      </c>
      <c r="I32" s="2762"/>
      <c r="J32" s="2763" t="s">
        <v>2104</v>
      </c>
      <c r="K32" s="2764"/>
      <c r="L32" s="2429" t="s">
        <v>438</v>
      </c>
      <c r="M32" s="2401" t="s">
        <v>604</v>
      </c>
      <c r="N32" s="2401" t="s">
        <v>438</v>
      </c>
      <c r="O32" s="2401" t="s">
        <v>604</v>
      </c>
      <c r="P32" s="2401" t="s">
        <v>438</v>
      </c>
      <c r="Q32" s="2401" t="s">
        <v>604</v>
      </c>
      <c r="R32" s="2401" t="s">
        <v>438</v>
      </c>
      <c r="S32" s="2401" t="s">
        <v>604</v>
      </c>
      <c r="T32" s="2401" t="s">
        <v>438</v>
      </c>
      <c r="U32" s="2401" t="s">
        <v>604</v>
      </c>
      <c r="V32" s="2401" t="s">
        <v>438</v>
      </c>
      <c r="W32" s="2401" t="s">
        <v>604</v>
      </c>
      <c r="X32" s="2401" t="s">
        <v>438</v>
      </c>
      <c r="Y32" s="2401" t="s">
        <v>604</v>
      </c>
      <c r="Z32" s="2401" t="s">
        <v>438</v>
      </c>
      <c r="AA32" s="2401" t="s">
        <v>604</v>
      </c>
      <c r="AB32" s="2401" t="s">
        <v>438</v>
      </c>
      <c r="AC32" s="2401" t="s">
        <v>604</v>
      </c>
      <c r="AD32" s="2401" t="s">
        <v>438</v>
      </c>
      <c r="AE32" s="2401" t="s">
        <v>604</v>
      </c>
      <c r="AF32" s="2401" t="s">
        <v>438</v>
      </c>
      <c r="AG32" s="2401" t="s">
        <v>604</v>
      </c>
      <c r="AH32" s="2401" t="s">
        <v>438</v>
      </c>
      <c r="AI32" s="2401" t="s">
        <v>604</v>
      </c>
      <c r="AJ32" s="1050"/>
      <c r="AK32" s="1050"/>
    </row>
    <row r="33" spans="1:60" customFormat="1">
      <c r="B33" s="2430">
        <f>+E27</f>
        <v>1.22</v>
      </c>
      <c r="C33" s="2400">
        <f>+ROUND(B33/M27+1,)*3</f>
        <v>15</v>
      </c>
      <c r="D33" s="2400">
        <f>+E27</f>
        <v>1.22</v>
      </c>
      <c r="E33" s="2400">
        <f>+ROUND(D33/U27+1,)*3</f>
        <v>15</v>
      </c>
      <c r="F33" s="2400">
        <f>+E27</f>
        <v>1.22</v>
      </c>
      <c r="G33" s="2400">
        <f>+ROUND(F33/W27+1,)*3</f>
        <v>15</v>
      </c>
      <c r="H33" s="2400">
        <f>+E27</f>
        <v>1.22</v>
      </c>
      <c r="I33" s="2400">
        <f>+ROUND(H33/Y27+1,)*3</f>
        <v>15</v>
      </c>
      <c r="J33" s="2756">
        <f>+B33*C33+D33*E33+F33*G33+H33*I33</f>
        <v>73.2</v>
      </c>
      <c r="K33" s="2757"/>
      <c r="L33" s="2415">
        <f>+(J27*2+K27*2+I27*4)</f>
        <v>6.1999999999999993</v>
      </c>
      <c r="M33" s="1051">
        <f>+ROUND(G23/M27+1,)</f>
        <v>7</v>
      </c>
      <c r="N33" s="1052">
        <f>+K27+I27*2</f>
        <v>1.5</v>
      </c>
      <c r="O33" s="2414">
        <f>+ROUND(G23/O27+1,)*2</f>
        <v>14</v>
      </c>
      <c r="P33" s="1052">
        <f>+G23*2+I27*2+J27</f>
        <v>5.6</v>
      </c>
      <c r="Q33" s="1051">
        <f>+ROUND((K27+I27*2)/Q27+1,)</f>
        <v>6</v>
      </c>
      <c r="R33" s="1052">
        <f>+G23</f>
        <v>1.85</v>
      </c>
      <c r="S33" s="2414">
        <f>+ROUND(K27/S27+1,)*2</f>
        <v>10</v>
      </c>
      <c r="T33" s="1052">
        <f>+J27+I27*2</f>
        <v>1.9000000000000001</v>
      </c>
      <c r="U33" s="2414">
        <f>+ROUND(G23/U27+1,)*2</f>
        <v>14</v>
      </c>
      <c r="V33" s="1052">
        <f>+G23*2+K27+I27*2</f>
        <v>5.2</v>
      </c>
      <c r="W33" s="2414">
        <f>+ROUND(J27/W27+1,)</f>
        <v>6</v>
      </c>
      <c r="X33" s="1052">
        <f>+G23</f>
        <v>1.85</v>
      </c>
      <c r="Y33" s="2414">
        <f>+ROUND(J27/Y27+1,)*2</f>
        <v>12</v>
      </c>
      <c r="Z33" s="1052">
        <f>+K27+I27*2</f>
        <v>1.5</v>
      </c>
      <c r="AA33" s="2414">
        <f>+ROUND(J27/AA27+1,)</f>
        <v>6</v>
      </c>
      <c r="AB33" s="1052">
        <f>+J27+I27*2</f>
        <v>1.9000000000000001</v>
      </c>
      <c r="AC33" s="2414">
        <f>+ROUND((K27+I27*2)/AC27+1,)</f>
        <v>6</v>
      </c>
      <c r="AD33" s="1052">
        <f>+K27</f>
        <v>1.2</v>
      </c>
      <c r="AE33" s="2414">
        <f>+ROUND(K27/AE27+1,)*2</f>
        <v>18</v>
      </c>
      <c r="AF33" s="1052">
        <f>+J27+K27+I27*4</f>
        <v>3.4</v>
      </c>
      <c r="AG33" s="1051">
        <f>+AF27</f>
        <v>3</v>
      </c>
      <c r="AH33" s="1051">
        <f>+AH27</f>
        <v>3.83</v>
      </c>
      <c r="AI33" s="1051">
        <f>+AI27</f>
        <v>6</v>
      </c>
      <c r="AJ33" s="1050"/>
      <c r="AK33" s="1050"/>
      <c r="AL33" s="1050"/>
      <c r="AM33" s="1050"/>
      <c r="AN33" s="1050"/>
      <c r="AO33" s="1050"/>
      <c r="AP33" s="1050"/>
      <c r="AQ33" s="1050"/>
      <c r="AR33" s="1050"/>
      <c r="AS33" s="1050"/>
      <c r="AT33" s="1050"/>
      <c r="AU33" s="1050"/>
      <c r="AV33" s="1050"/>
      <c r="AW33" s="1050"/>
      <c r="AX33" s="1050"/>
      <c r="AY33" s="1050"/>
      <c r="AZ33" s="1050"/>
      <c r="BA33" s="1050"/>
      <c r="BB33" s="1050"/>
      <c r="BC33" s="1050"/>
      <c r="BD33" s="1050"/>
    </row>
    <row r="34" spans="1:60" customFormat="1">
      <c r="B34" s="2755" t="s">
        <v>2102</v>
      </c>
      <c r="C34" s="2755"/>
      <c r="D34" s="2755" t="s">
        <v>606</v>
      </c>
      <c r="E34" s="2755"/>
      <c r="F34" s="2779" t="s">
        <v>2109</v>
      </c>
      <c r="G34" s="2780"/>
      <c r="H34" s="2779" t="s">
        <v>182</v>
      </c>
      <c r="I34" s="2780"/>
      <c r="J34" s="2779" t="s">
        <v>2110</v>
      </c>
      <c r="K34" s="2780"/>
      <c r="L34" s="2779" t="s">
        <v>2111</v>
      </c>
      <c r="M34" s="2780"/>
      <c r="N34" s="2421" t="s">
        <v>283</v>
      </c>
      <c r="O34" s="2422">
        <f>+H23*2+I23*2+I27*8</f>
        <v>6.8</v>
      </c>
      <c r="P34" s="2418"/>
      <c r="Q34" s="2418"/>
      <c r="R34" s="2418"/>
      <c r="S34" s="1050"/>
      <c r="T34" s="1050"/>
      <c r="U34" s="1050"/>
      <c r="V34" s="1050"/>
      <c r="W34" s="1050"/>
      <c r="X34" s="1050"/>
      <c r="Y34" s="1050"/>
      <c r="Z34" s="1050"/>
      <c r="AA34" s="1050"/>
      <c r="AB34" s="1050"/>
      <c r="AC34" s="1050"/>
      <c r="AD34" s="1050"/>
      <c r="AE34" s="1050"/>
      <c r="AF34" s="1050"/>
      <c r="AG34" s="1050"/>
      <c r="AH34" s="1050"/>
      <c r="AI34" s="1050"/>
      <c r="AJ34" s="1050"/>
      <c r="AK34" s="1050"/>
      <c r="AL34" s="1050"/>
      <c r="AM34" s="1050"/>
      <c r="AN34" s="1050"/>
      <c r="AO34" s="1050"/>
      <c r="AP34" s="1050"/>
      <c r="AQ34" s="1050"/>
      <c r="AR34" s="1050"/>
      <c r="AS34" s="1050"/>
      <c r="AT34" s="1050"/>
      <c r="AU34" s="1050"/>
      <c r="AV34" s="1050"/>
      <c r="AW34" s="1050"/>
      <c r="AX34" s="1050"/>
      <c r="AY34" s="1050"/>
      <c r="AZ34" s="1050"/>
      <c r="BA34" s="1050"/>
      <c r="BB34" s="1050"/>
      <c r="BC34" s="1050"/>
      <c r="BD34" s="1050"/>
      <c r="BE34" s="1050"/>
      <c r="BF34" s="1050"/>
      <c r="BG34" s="1050"/>
      <c r="BH34" s="1050"/>
    </row>
    <row r="35" spans="1:60" customFormat="1">
      <c r="B35" s="2751">
        <f>+L33*M33+N33*O33+P33*Q33+R33*S33+T33*U33+V33*W33+X33*Y33+Z33*AA33+AB33*AC33</f>
        <v>216.9</v>
      </c>
      <c r="C35" s="2751"/>
      <c r="D35" s="2751">
        <f>+IF(AD27=12,AD33*AE33,)+IF(AG27=12,AF33*AG33,)</f>
        <v>10.199999999999999</v>
      </c>
      <c r="E35" s="2751"/>
      <c r="F35" s="2779" t="s">
        <v>440</v>
      </c>
      <c r="G35" s="2780"/>
      <c r="H35" s="2781">
        <f>+B35-J33+AJ27*AK27+AJ28*AK28+AJ30*AK30+AJ31*AK31+2.2</f>
        <v>199.1</v>
      </c>
      <c r="I35" s="2782"/>
      <c r="J35" s="2777">
        <v>0.499</v>
      </c>
      <c r="K35" s="2778"/>
      <c r="L35" s="2777">
        <f>+ROUND(H35*J35,2)</f>
        <v>99.35</v>
      </c>
      <c r="M35" s="2778"/>
      <c r="N35" s="2421" t="s">
        <v>2118</v>
      </c>
      <c r="O35" s="2422">
        <f>0.9*4+0.88*6</f>
        <v>8.8800000000000008</v>
      </c>
      <c r="P35" s="2752" t="s">
        <v>2110</v>
      </c>
      <c r="Q35" s="2752"/>
      <c r="R35" s="2752" t="s">
        <v>2111</v>
      </c>
      <c r="S35" s="2752"/>
      <c r="T35" s="1050"/>
      <c r="U35" s="1050"/>
      <c r="V35" s="1050"/>
      <c r="W35" s="1050"/>
      <c r="X35" s="1050"/>
      <c r="Y35" s="1050"/>
      <c r="Z35" s="1050"/>
      <c r="AA35" s="1050"/>
      <c r="AB35" s="1050"/>
      <c r="AC35" s="1050"/>
      <c r="AD35" s="1050"/>
      <c r="AE35" s="1050"/>
      <c r="AF35" s="1050"/>
      <c r="AG35" s="1050"/>
      <c r="AH35" s="1050"/>
      <c r="AI35" s="1050"/>
      <c r="AJ35" s="1050"/>
      <c r="AK35" s="1050"/>
      <c r="AL35" s="1050"/>
      <c r="AM35" s="1050"/>
      <c r="AN35" s="1050"/>
      <c r="AO35" s="1050"/>
      <c r="AP35" s="1050"/>
      <c r="AQ35" s="1050"/>
      <c r="AR35" s="1050"/>
      <c r="AS35" s="1050"/>
      <c r="AT35" s="1050"/>
      <c r="AU35" s="1050"/>
      <c r="AV35" s="1050"/>
      <c r="AW35" s="1050"/>
      <c r="AX35" s="1050"/>
      <c r="AY35" s="1050"/>
      <c r="AZ35" s="1050"/>
      <c r="BA35" s="1050"/>
      <c r="BB35" s="1050"/>
      <c r="BC35" s="1050"/>
      <c r="BD35" s="1050"/>
      <c r="BE35" s="1050"/>
      <c r="BF35" s="1050"/>
      <c r="BG35" s="1050"/>
      <c r="BH35" s="1050"/>
    </row>
    <row r="36" spans="1:60" customFormat="1">
      <c r="B36" s="2755" t="s">
        <v>2103</v>
      </c>
      <c r="C36" s="2755"/>
      <c r="D36" s="2755" t="s">
        <v>2108</v>
      </c>
      <c r="E36" s="2755"/>
      <c r="F36" s="2779" t="s">
        <v>606</v>
      </c>
      <c r="G36" s="2780"/>
      <c r="H36" s="2781">
        <f>+D35</f>
        <v>10.199999999999999</v>
      </c>
      <c r="I36" s="2782"/>
      <c r="J36" s="2777">
        <v>0.88800000000000001</v>
      </c>
      <c r="K36" s="2778"/>
      <c r="L36" s="2777">
        <f t="shared" ref="L36:L37" si="10">+ROUND(H36*J36,2)</f>
        <v>9.06</v>
      </c>
      <c r="M36" s="2778"/>
      <c r="N36" s="2421" t="s">
        <v>2119</v>
      </c>
      <c r="O36" s="2422">
        <f>+(0.25*2+0.3+0.1)*ROUND((F27/0.3+1)+1,)</f>
        <v>3.6</v>
      </c>
      <c r="P36" s="2750">
        <v>2.23</v>
      </c>
      <c r="Q36" s="2750"/>
      <c r="R36" s="2750">
        <f>+ROUND(O36*P36,2)</f>
        <v>8.0299999999999994</v>
      </c>
      <c r="S36" s="2750"/>
      <c r="T36" s="1050"/>
      <c r="U36" s="1050"/>
      <c r="V36" s="1050"/>
      <c r="W36" s="1050"/>
      <c r="X36" s="1050"/>
      <c r="Y36" s="1050"/>
      <c r="Z36" s="1050"/>
      <c r="AA36" s="1050"/>
      <c r="AB36" s="1050"/>
      <c r="AC36" s="1050"/>
      <c r="AD36" s="1050"/>
      <c r="AE36" s="1050"/>
      <c r="AF36" s="1050"/>
      <c r="AG36" s="1050"/>
      <c r="AH36" s="1050"/>
      <c r="AI36" s="1050"/>
      <c r="AJ36" s="1050"/>
      <c r="AK36" s="1050"/>
      <c r="AL36" s="1050"/>
      <c r="AM36" s="1050"/>
      <c r="AN36" s="1050"/>
      <c r="AO36" s="1050"/>
      <c r="AP36" s="1050"/>
      <c r="AQ36" s="1050"/>
      <c r="AR36" s="1050"/>
      <c r="AS36" s="1050"/>
      <c r="AT36" s="1050"/>
      <c r="AU36" s="1050"/>
      <c r="AV36" s="1050"/>
      <c r="AW36" s="1050"/>
      <c r="AX36" s="1050"/>
      <c r="AY36" s="1050"/>
      <c r="AZ36" s="1050"/>
      <c r="BA36" s="1050"/>
      <c r="BB36" s="1050"/>
      <c r="BC36" s="1050"/>
      <c r="BD36" s="1050"/>
      <c r="BE36" s="1050"/>
      <c r="BF36" s="1050"/>
      <c r="BG36" s="1050"/>
      <c r="BH36" s="1050"/>
    </row>
    <row r="37" spans="1:60" customFormat="1">
      <c r="B37" s="2751">
        <f>+IF(AD27=9,AD33*AE33,)</f>
        <v>21.599999999999998</v>
      </c>
      <c r="C37" s="2751"/>
      <c r="D37" s="2751">
        <f>+IF(AG27=16,AF33*AG33,)</f>
        <v>0</v>
      </c>
      <c r="E37" s="2751"/>
      <c r="F37" s="2779" t="s">
        <v>2108</v>
      </c>
      <c r="G37" s="2780"/>
      <c r="H37" s="2781">
        <f>+D37</f>
        <v>0</v>
      </c>
      <c r="I37" s="2782"/>
      <c r="J37" s="2783">
        <v>1.58</v>
      </c>
      <c r="K37" s="2784"/>
      <c r="L37" s="2777">
        <f t="shared" si="10"/>
        <v>0</v>
      </c>
      <c r="M37" s="2778"/>
      <c r="N37" s="2421" t="s">
        <v>2120</v>
      </c>
      <c r="O37" s="2422">
        <f>+(0.22*2+0.15)*4+9.8</f>
        <v>12.16</v>
      </c>
      <c r="P37" s="2750">
        <v>1.39</v>
      </c>
      <c r="Q37" s="2750"/>
      <c r="R37" s="2750">
        <f>+ROUND(O37*P37,2)</f>
        <v>16.899999999999999</v>
      </c>
      <c r="S37" s="2750"/>
      <c r="T37" s="1054"/>
      <c r="U37" s="1054"/>
      <c r="V37" s="1054"/>
      <c r="W37" s="1054"/>
      <c r="X37" s="1054"/>
      <c r="Y37" s="1054"/>
      <c r="Z37" s="1054"/>
      <c r="AA37" s="1054"/>
      <c r="AB37" s="1054"/>
      <c r="AC37" s="1054"/>
      <c r="AD37" s="1054"/>
      <c r="AE37" s="1054"/>
      <c r="AF37" s="1054"/>
      <c r="AG37" s="1054"/>
      <c r="AH37" s="1050"/>
      <c r="AI37" s="1050"/>
      <c r="AJ37" s="1050"/>
      <c r="AK37" s="1050"/>
      <c r="AL37" s="1050"/>
      <c r="AM37" s="1050"/>
      <c r="AN37" s="1050"/>
      <c r="AO37" s="1050"/>
      <c r="AP37" s="1050"/>
      <c r="AQ37" s="1050"/>
      <c r="AR37" s="1050"/>
      <c r="AS37" s="1050"/>
      <c r="AT37" s="1050"/>
      <c r="AU37" s="1050"/>
      <c r="AV37" s="1050"/>
      <c r="AW37" s="1050"/>
      <c r="AX37" s="1050"/>
      <c r="AY37" s="1050"/>
      <c r="AZ37" s="1050"/>
      <c r="BA37" s="1050"/>
      <c r="BB37" s="1050"/>
      <c r="BC37" s="1050"/>
      <c r="BD37" s="1050"/>
      <c r="BE37" s="1050"/>
      <c r="BF37" s="1050"/>
      <c r="BG37" s="1050"/>
      <c r="BH37" s="1050"/>
    </row>
    <row r="38" spans="1:60" customFormat="1">
      <c r="N38" s="2421" t="s">
        <v>608</v>
      </c>
      <c r="O38" s="2422">
        <f>+(0.9*2+0.25*2)*2+0.15*10</f>
        <v>6.1</v>
      </c>
      <c r="P38" s="2750">
        <v>0.222</v>
      </c>
      <c r="Q38" s="2750"/>
      <c r="R38" s="2750">
        <f>+ROUND(O38*P38,2)</f>
        <v>1.35</v>
      </c>
      <c r="S38" s="2750"/>
      <c r="X38" s="1050"/>
      <c r="Y38" s="1050"/>
      <c r="Z38" s="1050"/>
      <c r="AA38" s="1050"/>
      <c r="AB38" s="1050"/>
      <c r="AC38" s="1050"/>
      <c r="AD38" s="1050"/>
      <c r="AE38" s="1050"/>
      <c r="AF38" s="1050"/>
      <c r="AG38" s="1050"/>
      <c r="AH38" s="1050"/>
      <c r="AI38" s="1050"/>
      <c r="AJ38" s="1050"/>
      <c r="AK38" s="1050"/>
      <c r="AL38" s="1050"/>
      <c r="AM38" s="1050"/>
      <c r="AN38" s="1050"/>
      <c r="AO38" s="1050"/>
      <c r="AP38" s="1050"/>
      <c r="AQ38" s="1050"/>
      <c r="AR38" s="1050"/>
      <c r="AS38" s="1050"/>
      <c r="AT38" s="1050"/>
      <c r="AU38" s="1050"/>
      <c r="AV38" s="1050"/>
      <c r="AW38" s="1050"/>
      <c r="AX38" s="1050"/>
      <c r="AY38" s="1050"/>
      <c r="AZ38" s="1050"/>
      <c r="BA38" s="1050"/>
      <c r="BB38" s="1050"/>
      <c r="BC38" s="1050"/>
      <c r="BD38" s="1050"/>
      <c r="BE38" s="1050"/>
      <c r="BF38" s="1050"/>
      <c r="BG38" s="1050"/>
      <c r="BH38" s="1050"/>
    </row>
    <row r="39" spans="1:60" customFormat="1" ht="27.75">
      <c r="A39" s="1050"/>
      <c r="B39" s="1059" t="s">
        <v>2115</v>
      </c>
      <c r="C39" s="1050"/>
      <c r="D39" s="1050"/>
      <c r="E39" s="1050"/>
      <c r="F39" s="1050"/>
      <c r="G39" s="2418" t="s">
        <v>2112</v>
      </c>
      <c r="H39" s="2420">
        <v>2.5</v>
      </c>
      <c r="I39" s="1050"/>
      <c r="J39" s="1050"/>
      <c r="K39" s="1050"/>
      <c r="L39" s="1050"/>
      <c r="M39" s="1050"/>
      <c r="N39" s="1050"/>
      <c r="O39" s="1050"/>
      <c r="P39" s="1050"/>
      <c r="Q39" s="1050"/>
      <c r="R39" s="1050"/>
      <c r="X39" s="1050"/>
      <c r="Y39" s="1050"/>
      <c r="Z39" s="1050"/>
      <c r="AA39" s="1050"/>
      <c r="AB39" s="1050"/>
      <c r="AC39" s="1050"/>
      <c r="AD39" s="1050"/>
      <c r="AE39" s="1050"/>
      <c r="AF39" s="1050"/>
      <c r="AG39" s="1050"/>
      <c r="AH39" s="1050"/>
      <c r="AI39" s="1050"/>
      <c r="AJ39" s="1050"/>
      <c r="AK39" s="1050"/>
      <c r="AL39" s="1050"/>
      <c r="AM39" s="1050"/>
      <c r="AN39" s="1050"/>
      <c r="AO39" s="1050"/>
      <c r="AP39" s="1050"/>
      <c r="AQ39" s="1050"/>
      <c r="AR39" s="1050"/>
      <c r="AS39" s="1050"/>
      <c r="AT39" s="1050"/>
      <c r="AU39" s="1050"/>
      <c r="AV39" s="1050"/>
      <c r="AW39" s="1050"/>
      <c r="AX39" s="1050"/>
      <c r="AY39" s="1050"/>
      <c r="AZ39" s="1050"/>
      <c r="BA39" s="1050"/>
      <c r="BB39" s="1050"/>
      <c r="BC39" s="1050"/>
      <c r="BD39" s="1050"/>
      <c r="BE39" s="1050"/>
    </row>
    <row r="40" spans="1:60" customFormat="1">
      <c r="A40" s="1050"/>
      <c r="B40" s="2773" t="s">
        <v>551</v>
      </c>
      <c r="C40" s="2773" t="s">
        <v>712</v>
      </c>
      <c r="D40" s="2773" t="s">
        <v>294</v>
      </c>
      <c r="E40" s="2773" t="s">
        <v>2076</v>
      </c>
      <c r="F40" s="2773" t="s">
        <v>2098</v>
      </c>
      <c r="G40" s="2773" t="s">
        <v>2091</v>
      </c>
      <c r="H40" s="2773" t="s">
        <v>713</v>
      </c>
      <c r="I40" s="2773"/>
      <c r="J40" s="2774" t="s">
        <v>282</v>
      </c>
      <c r="K40" s="2775"/>
      <c r="L40" s="2775"/>
      <c r="M40" s="2775"/>
      <c r="N40" s="2775"/>
      <c r="O40" s="2775"/>
      <c r="P40" s="2776"/>
      <c r="Q40" s="2773" t="s">
        <v>716</v>
      </c>
      <c r="R40" s="2773" t="s">
        <v>585</v>
      </c>
    </row>
    <row r="41" spans="1:60" customFormat="1" ht="48">
      <c r="A41" s="1050"/>
      <c r="B41" s="2773"/>
      <c r="C41" s="2773"/>
      <c r="D41" s="2773"/>
      <c r="E41" s="2773"/>
      <c r="F41" s="2773"/>
      <c r="G41" s="2773"/>
      <c r="H41" s="2402" t="s">
        <v>607</v>
      </c>
      <c r="I41" s="1058" t="s">
        <v>280</v>
      </c>
      <c r="J41" s="2402" t="s">
        <v>2097</v>
      </c>
      <c r="K41" s="2402" t="s">
        <v>714</v>
      </c>
      <c r="L41" s="1058" t="s">
        <v>715</v>
      </c>
      <c r="M41" s="1058" t="s">
        <v>2099</v>
      </c>
      <c r="N41" s="1058" t="s">
        <v>2100</v>
      </c>
      <c r="O41" s="1058" t="s">
        <v>2101</v>
      </c>
      <c r="P41" s="1058" t="s">
        <v>28</v>
      </c>
      <c r="Q41" s="2773"/>
      <c r="R41" s="2773"/>
    </row>
    <row r="42" spans="1:60" customFormat="1">
      <c r="A42" s="1050"/>
      <c r="B42" s="1053">
        <f>VLOOKUP($X$3,$B$47:$C$50,2)</f>
        <v>1</v>
      </c>
      <c r="C42" s="1052">
        <f>+$E$46</f>
        <v>1.22</v>
      </c>
      <c r="D42" s="1051">
        <f>ROUND((22/7*C42^2)/4,3)</f>
        <v>1.169</v>
      </c>
      <c r="E42" s="1052">
        <f>ROUND($D$46*($J$46+0.3)*($K$46+0.3),3)</f>
        <v>7.125</v>
      </c>
      <c r="F42" s="1053">
        <v>0.3</v>
      </c>
      <c r="G42" s="1052">
        <f>+$D$46-0.65</f>
        <v>1.85</v>
      </c>
      <c r="H42" s="1052">
        <f>+$J$46</f>
        <v>1.6</v>
      </c>
      <c r="I42" s="1052">
        <f>+$K$46</f>
        <v>1.2</v>
      </c>
      <c r="J42" s="1051">
        <v>0</v>
      </c>
      <c r="K42" s="1052">
        <f>ROUND(($H$42*$G$42-$D$42)*$I$46*4,2)</f>
        <v>1.07</v>
      </c>
      <c r="L42" s="1051">
        <f>ROUND($H$42*$I$42*$I$46,3)</f>
        <v>0.28799999999999998</v>
      </c>
      <c r="M42" s="1052">
        <f>ROUND((((H42+I46*2)*(I42+I46*2))-(0.8*0.8))*0.12,2)</f>
        <v>0.27</v>
      </c>
      <c r="N42" s="1052">
        <f>ROUND((1.1*1+0.8*2)*$I$46,2)</f>
        <v>0.41</v>
      </c>
      <c r="O42" s="1052">
        <f>ROUND((0.87*0.87)*0.075,2)</f>
        <v>0.06</v>
      </c>
      <c r="P42" s="1052">
        <f>SUM(J42:O42)</f>
        <v>2.0980000000000003</v>
      </c>
      <c r="Q42" s="1051">
        <f>ROUND(0.05*($J$46+0.3)*($K$46+0.3),2)</f>
        <v>0.14000000000000001</v>
      </c>
      <c r="R42" s="1051">
        <f>ROUND(0.1*($J$46+0.3)*($K$46+0.3),2)</f>
        <v>0.28999999999999998</v>
      </c>
    </row>
    <row r="43" spans="1:60" customFormat="1">
      <c r="X43" s="1050"/>
      <c r="Y43" s="1050"/>
      <c r="Z43" s="1050"/>
      <c r="AA43" s="1050"/>
      <c r="AB43" s="1050"/>
      <c r="AC43" s="1050"/>
      <c r="AD43" s="1050"/>
      <c r="AE43" s="1050"/>
      <c r="AF43" s="1050"/>
      <c r="AG43" s="1050"/>
      <c r="AH43" s="1050"/>
      <c r="AI43" s="1050"/>
      <c r="AJ43" s="1050"/>
      <c r="AK43" s="1050"/>
      <c r="AL43" s="1050"/>
      <c r="AM43" s="1050"/>
      <c r="AN43" s="1050"/>
      <c r="AO43" s="1050"/>
      <c r="AP43" s="1050"/>
      <c r="AQ43" s="1050"/>
      <c r="AR43" s="1050"/>
      <c r="AS43" s="1050"/>
      <c r="AT43" s="1050"/>
      <c r="AU43" s="1050"/>
      <c r="AV43" s="1050"/>
      <c r="AW43" s="1050"/>
      <c r="AX43" s="1050"/>
      <c r="AY43" s="1050"/>
      <c r="AZ43" s="1050"/>
      <c r="BA43" s="1050"/>
      <c r="BB43" s="1050"/>
      <c r="BC43" s="1050"/>
      <c r="BD43" s="1050"/>
      <c r="BE43" s="1050"/>
      <c r="BF43" s="1050"/>
      <c r="BG43" s="1050"/>
      <c r="BH43" s="1050"/>
    </row>
    <row r="44" spans="1:60" customFormat="1">
      <c r="B44" s="2769" t="s">
        <v>604</v>
      </c>
      <c r="C44" s="2769" t="s">
        <v>2092</v>
      </c>
      <c r="D44" s="2758" t="s">
        <v>274</v>
      </c>
      <c r="E44" s="2771" t="s">
        <v>2088</v>
      </c>
      <c r="F44" s="2758" t="s">
        <v>2086</v>
      </c>
      <c r="G44" s="2768" t="s">
        <v>2089</v>
      </c>
      <c r="H44" s="2758" t="s">
        <v>416</v>
      </c>
      <c r="I44" s="2758" t="s">
        <v>2090</v>
      </c>
      <c r="J44" s="2765" t="s">
        <v>713</v>
      </c>
      <c r="K44" s="2766"/>
      <c r="L44" s="2765">
        <v>1</v>
      </c>
      <c r="M44" s="2766"/>
      <c r="N44" s="2765">
        <f>+L44+1</f>
        <v>2</v>
      </c>
      <c r="O44" s="2766"/>
      <c r="P44" s="2765">
        <f>+N44+1</f>
        <v>3</v>
      </c>
      <c r="Q44" s="2766"/>
      <c r="R44" s="2765">
        <f t="shared" ref="R44" si="11">+P44+1</f>
        <v>4</v>
      </c>
      <c r="S44" s="2766"/>
      <c r="T44" s="2765">
        <f t="shared" ref="T44" si="12">+R44+1</f>
        <v>5</v>
      </c>
      <c r="U44" s="2766"/>
      <c r="V44" s="2765">
        <f t="shared" ref="V44" si="13">+T44+1</f>
        <v>6</v>
      </c>
      <c r="W44" s="2766"/>
      <c r="X44" s="2765">
        <f t="shared" ref="X44" si="14">+V44+1</f>
        <v>7</v>
      </c>
      <c r="Y44" s="2766"/>
      <c r="Z44" s="2767">
        <f t="shared" ref="Z44" si="15">+X44+1</f>
        <v>8</v>
      </c>
      <c r="AA44" s="2767"/>
      <c r="AB44" s="2767">
        <f t="shared" ref="AB44" si="16">+Z44+1</f>
        <v>9</v>
      </c>
      <c r="AC44" s="2767"/>
      <c r="AD44" s="2767">
        <f t="shared" ref="AD44" si="17">+AB44+1</f>
        <v>10</v>
      </c>
      <c r="AE44" s="2767"/>
      <c r="AF44" s="2767">
        <f t="shared" ref="AF44" si="18">+AD44+1</f>
        <v>11</v>
      </c>
      <c r="AG44" s="2767"/>
      <c r="AH44" s="2758" t="s">
        <v>2105</v>
      </c>
      <c r="AI44" s="2758"/>
      <c r="AJ44" s="2758" t="s">
        <v>2106</v>
      </c>
      <c r="AK44" s="2758"/>
      <c r="AL44" s="1050"/>
      <c r="AM44" s="1050"/>
      <c r="AN44" s="1050"/>
      <c r="AO44" s="1050"/>
      <c r="AP44" s="1050"/>
      <c r="AQ44" s="1050"/>
      <c r="AR44" s="1050"/>
      <c r="AS44" s="1050"/>
      <c r="AT44" s="1050"/>
      <c r="AU44" s="1050"/>
      <c r="AV44" s="1050"/>
      <c r="AW44" s="1050"/>
      <c r="AX44" s="1050"/>
      <c r="AY44" s="1050"/>
      <c r="AZ44" s="1050"/>
      <c r="BA44" s="1050"/>
      <c r="BB44" s="1050"/>
      <c r="BC44" s="1050"/>
      <c r="BD44" s="2416"/>
      <c r="BE44" s="2416"/>
    </row>
    <row r="45" spans="1:60" customFormat="1">
      <c r="B45" s="2770"/>
      <c r="C45" s="2770"/>
      <c r="D45" s="2758"/>
      <c r="E45" s="2772"/>
      <c r="F45" s="2758"/>
      <c r="G45" s="2758"/>
      <c r="H45" s="2758"/>
      <c r="I45" s="2758"/>
      <c r="J45" s="2423" t="s">
        <v>607</v>
      </c>
      <c r="K45" s="2423" t="s">
        <v>280</v>
      </c>
      <c r="L45" s="2424" t="s">
        <v>605</v>
      </c>
      <c r="M45" s="2425" t="s">
        <v>279</v>
      </c>
      <c r="N45" s="2424" t="s">
        <v>605</v>
      </c>
      <c r="O45" s="2425" t="s">
        <v>279</v>
      </c>
      <c r="P45" s="2424" t="s">
        <v>605</v>
      </c>
      <c r="Q45" s="2425" t="s">
        <v>279</v>
      </c>
      <c r="R45" s="2424" t="s">
        <v>605</v>
      </c>
      <c r="S45" s="2425" t="s">
        <v>279</v>
      </c>
      <c r="T45" s="2424" t="s">
        <v>605</v>
      </c>
      <c r="U45" s="2425" t="s">
        <v>279</v>
      </c>
      <c r="V45" s="2424" t="s">
        <v>605</v>
      </c>
      <c r="W45" s="2425" t="s">
        <v>279</v>
      </c>
      <c r="X45" s="2424" t="s">
        <v>605</v>
      </c>
      <c r="Y45" s="2425" t="s">
        <v>279</v>
      </c>
      <c r="Z45" s="2424" t="s">
        <v>605</v>
      </c>
      <c r="AA45" s="2425" t="s">
        <v>279</v>
      </c>
      <c r="AB45" s="2424" t="s">
        <v>605</v>
      </c>
      <c r="AC45" s="2425" t="s">
        <v>279</v>
      </c>
      <c r="AD45" s="2424" t="s">
        <v>605</v>
      </c>
      <c r="AE45" s="2425" t="s">
        <v>279</v>
      </c>
      <c r="AF45" s="2424" t="s">
        <v>605</v>
      </c>
      <c r="AG45" s="2425" t="s">
        <v>279</v>
      </c>
      <c r="AH45" s="2425" t="s">
        <v>438</v>
      </c>
      <c r="AI45" s="2425" t="s">
        <v>22</v>
      </c>
      <c r="AJ45" s="2425" t="s">
        <v>438</v>
      </c>
      <c r="AK45" s="2425" t="s">
        <v>22</v>
      </c>
      <c r="AL45" s="1050"/>
      <c r="AM45" s="1050"/>
      <c r="AN45" s="1050"/>
      <c r="AO45" s="1050"/>
      <c r="AP45" s="1050"/>
      <c r="AQ45" s="1050"/>
      <c r="AR45" s="1050"/>
      <c r="AS45" s="1050"/>
      <c r="AT45" s="1050"/>
      <c r="AU45" s="1050"/>
      <c r="AV45" s="1050"/>
      <c r="AW45" s="1050"/>
      <c r="AX45" s="1050"/>
      <c r="AY45" s="1050"/>
      <c r="AZ45" s="1050"/>
      <c r="BA45" s="1050"/>
      <c r="BB45" s="1050"/>
      <c r="BC45" s="1050"/>
    </row>
    <row r="46" spans="1:60" customFormat="1">
      <c r="B46" s="2426">
        <f>VLOOKUP($X$3,B47:AG50,1)</f>
        <v>3</v>
      </c>
      <c r="C46" s="2427">
        <f>VLOOKUP($X$3,B47:AG50,2)</f>
        <v>1</v>
      </c>
      <c r="D46" s="2427">
        <f>+H39</f>
        <v>2.5</v>
      </c>
      <c r="E46" s="2428">
        <f>VLOOKUP($X$3,B47:AG50,4)</f>
        <v>1.22</v>
      </c>
      <c r="F46" s="2428">
        <f>VLOOKUP($X$3,B47:AG50,5)</f>
        <v>0.65999999999999992</v>
      </c>
      <c r="G46" s="2428">
        <f>VLOOKUP($X$3,B47:AG50,6)</f>
        <v>0.65999999999999992</v>
      </c>
      <c r="H46" s="2428">
        <f>VLOOKUP($X$3,B47:AG50,7)</f>
        <v>0.22</v>
      </c>
      <c r="I46" s="2428">
        <f>VLOOKUP($X$3,B47:AG50,8)</f>
        <v>0.15</v>
      </c>
      <c r="J46" s="2427">
        <f>VLOOKUP($X$3,B47:AG50,9)</f>
        <v>1.6</v>
      </c>
      <c r="K46" s="2427">
        <f>VLOOKUP($X$3,B47:AG50,10)</f>
        <v>1.2</v>
      </c>
      <c r="L46" s="2428">
        <f>VLOOKUP($X$3,B47:AG50,11)</f>
        <v>9</v>
      </c>
      <c r="M46" s="2428">
        <f>VLOOKUP($X$3,B47:AG50,12)</f>
        <v>0.3</v>
      </c>
      <c r="N46" s="2428">
        <f>VLOOKUP($X$3,B47:AG50,13)</f>
        <v>9</v>
      </c>
      <c r="O46" s="2427">
        <f>VLOOKUP($X$3,B47:AG50,14)</f>
        <v>0.3</v>
      </c>
      <c r="P46" s="2428">
        <f>VLOOKUP($X$3,B47:AG50,15)</f>
        <v>9</v>
      </c>
      <c r="Q46" s="2428">
        <f>VLOOKUP($X$3,B47:AG50,16)</f>
        <v>0.3</v>
      </c>
      <c r="R46" s="2428">
        <f>VLOOKUP($X$3,B47:AG50,17)</f>
        <v>9</v>
      </c>
      <c r="S46" s="2427">
        <f>VLOOKUP($X$3,B47:AG50,18)</f>
        <v>0.3</v>
      </c>
      <c r="T46" s="2428">
        <f>VLOOKUP($X$3,B47:AG50,19)</f>
        <v>9</v>
      </c>
      <c r="U46" s="2427">
        <f>VLOOKUP($X$3,B47:AG50,20)</f>
        <v>0.3</v>
      </c>
      <c r="V46" s="2428">
        <f>VLOOKUP($X$3,B47:AG50,21)</f>
        <v>9</v>
      </c>
      <c r="W46" s="2428">
        <f>VLOOKUP($X$3,B47:AG50,22)</f>
        <v>0.3</v>
      </c>
      <c r="X46" s="2428">
        <f>VLOOKUP($X$3,B47:AG50,23)</f>
        <v>9</v>
      </c>
      <c r="Y46" s="2427">
        <f>VLOOKUP($X$3,B47:AG50,24)</f>
        <v>0.3</v>
      </c>
      <c r="Z46" s="2428">
        <f>VLOOKUP($X$3,B47:AG50,25)</f>
        <v>9</v>
      </c>
      <c r="AA46" s="2428">
        <f>VLOOKUP($X$3,B47:AG50,26)</f>
        <v>0.3</v>
      </c>
      <c r="AB46" s="2428">
        <f>VLOOKUP($X$3,B47:AG50,27)</f>
        <v>9</v>
      </c>
      <c r="AC46" s="2428">
        <f>VLOOKUP($X$3,B47:AG50,28)</f>
        <v>0.3</v>
      </c>
      <c r="AD46" s="2428">
        <f>VLOOKUP($X$3,B47:AG50,29)</f>
        <v>9</v>
      </c>
      <c r="AE46" s="2427">
        <f>VLOOKUP($X$3,B47:AG50,30)</f>
        <v>0.15</v>
      </c>
      <c r="AF46" s="2428">
        <f>VLOOKUP($X$3,B47:AG50,31)</f>
        <v>3</v>
      </c>
      <c r="AG46" s="2428">
        <f>VLOOKUP($X$3,B47:AG50,32)</f>
        <v>12</v>
      </c>
      <c r="AH46" s="2428">
        <f>VLOOKUP($X$3,B47:AH50,33)</f>
        <v>3.83</v>
      </c>
      <c r="AI46" s="2428">
        <f>VLOOKUP($X$3,B47:AI50,34)</f>
        <v>8</v>
      </c>
      <c r="AJ46" s="1052">
        <v>4.4000000000000004</v>
      </c>
      <c r="AK46" s="2414">
        <f>+ROUND(0.5/0.15+1,)</f>
        <v>4</v>
      </c>
      <c r="AL46" s="1050"/>
      <c r="AM46" s="1050"/>
      <c r="AN46" s="1050"/>
      <c r="AO46" s="1050"/>
      <c r="AP46" s="1050"/>
      <c r="AQ46" s="1050"/>
      <c r="AR46" s="1050"/>
      <c r="AS46" s="1050"/>
      <c r="AT46" s="1050"/>
      <c r="AU46" s="1050"/>
      <c r="AV46" s="1050"/>
      <c r="AW46" s="1050"/>
      <c r="AX46" s="1050"/>
      <c r="AY46" s="1050"/>
      <c r="AZ46" s="1050"/>
      <c r="BA46" s="1050"/>
      <c r="BB46" s="1050"/>
      <c r="BC46" s="1050"/>
    </row>
    <row r="47" spans="1:60" customFormat="1">
      <c r="B47" s="2406">
        <v>1</v>
      </c>
      <c r="C47" s="2407">
        <v>0.6</v>
      </c>
      <c r="D47" s="2407">
        <v>2.5</v>
      </c>
      <c r="E47" s="2407">
        <f>+C47+H47</f>
        <v>0.75</v>
      </c>
      <c r="F47" s="2407">
        <f>+D47-0.62-E47</f>
        <v>1.1299999999999999</v>
      </c>
      <c r="G47" s="2407">
        <f>+IF(F47&lt;0,"N",F47)</f>
        <v>1.1299999999999999</v>
      </c>
      <c r="H47" s="2407">
        <v>0.15</v>
      </c>
      <c r="I47" s="2407">
        <v>0.15</v>
      </c>
      <c r="J47" s="2407">
        <v>1.2</v>
      </c>
      <c r="K47" s="2407">
        <v>1</v>
      </c>
      <c r="L47" s="2406">
        <v>9</v>
      </c>
      <c r="M47" s="2407">
        <v>0.3</v>
      </c>
      <c r="N47" s="2406">
        <v>9</v>
      </c>
      <c r="O47" s="2407">
        <v>0.3</v>
      </c>
      <c r="P47" s="2406">
        <v>9</v>
      </c>
      <c r="Q47" s="2407">
        <v>0.3</v>
      </c>
      <c r="R47" s="2406">
        <v>9</v>
      </c>
      <c r="S47" s="2407">
        <v>0.3</v>
      </c>
      <c r="T47" s="2406">
        <v>9</v>
      </c>
      <c r="U47" s="2407">
        <v>0.3</v>
      </c>
      <c r="V47" s="2406">
        <v>9</v>
      </c>
      <c r="W47" s="2407">
        <v>0.3</v>
      </c>
      <c r="X47" s="2406">
        <v>9</v>
      </c>
      <c r="Y47" s="2407">
        <v>0.3</v>
      </c>
      <c r="Z47" s="2406">
        <v>9</v>
      </c>
      <c r="AA47" s="2407">
        <v>0.3</v>
      </c>
      <c r="AB47" s="2406">
        <v>9</v>
      </c>
      <c r="AC47" s="2407">
        <v>0.3</v>
      </c>
      <c r="AD47" s="2406">
        <v>9</v>
      </c>
      <c r="AE47" s="2407">
        <v>0.15</v>
      </c>
      <c r="AF47" s="2406">
        <v>3</v>
      </c>
      <c r="AG47" s="2408">
        <v>12</v>
      </c>
      <c r="AH47" s="2407">
        <f>ROUND(2*3.14285714285714*E47/2,2)</f>
        <v>2.36</v>
      </c>
      <c r="AI47" s="2408">
        <v>8</v>
      </c>
      <c r="AJ47" s="1051">
        <v>0.62</v>
      </c>
      <c r="AK47" s="2414">
        <f>+ROUND(1.1/0.15+1,)*4</f>
        <v>32</v>
      </c>
      <c r="AL47" s="1050"/>
      <c r="AM47" s="1050"/>
      <c r="AN47" s="1050"/>
      <c r="AO47" s="1050"/>
      <c r="AP47" s="1050"/>
      <c r="AQ47" s="1050"/>
      <c r="AR47" s="1050"/>
      <c r="AS47" s="1050"/>
      <c r="AT47" s="1050"/>
      <c r="AU47" s="1050"/>
      <c r="AV47" s="1050"/>
      <c r="AW47" s="1050"/>
      <c r="AX47" s="1050"/>
      <c r="AY47" s="1050"/>
      <c r="AZ47" s="1050"/>
      <c r="BA47" s="1050"/>
      <c r="BB47" s="1050"/>
      <c r="BC47" s="1050"/>
    </row>
    <row r="48" spans="1:60" customFormat="1">
      <c r="B48" s="2406">
        <v>2</v>
      </c>
      <c r="C48" s="2407">
        <v>0.8</v>
      </c>
      <c r="D48" s="2407">
        <f>+D47</f>
        <v>2.5</v>
      </c>
      <c r="E48" s="2407">
        <f>+C48+H48</f>
        <v>0.99</v>
      </c>
      <c r="F48" s="2407">
        <f t="shared" ref="F48:F50" si="19">+D48-0.62-E48</f>
        <v>0.8899999999999999</v>
      </c>
      <c r="G48" s="2407">
        <f>+IF(F48&lt;0,"N",F48)</f>
        <v>0.8899999999999999</v>
      </c>
      <c r="H48" s="2407">
        <f>0.095*2</f>
        <v>0.19</v>
      </c>
      <c r="I48" s="2407">
        <v>0.15</v>
      </c>
      <c r="J48" s="2407">
        <v>1.4</v>
      </c>
      <c r="K48" s="2407">
        <v>1</v>
      </c>
      <c r="L48" s="2406">
        <v>9</v>
      </c>
      <c r="M48" s="2407">
        <v>0.3</v>
      </c>
      <c r="N48" s="2406">
        <v>9</v>
      </c>
      <c r="O48" s="2407">
        <v>0.3</v>
      </c>
      <c r="P48" s="2406">
        <v>9</v>
      </c>
      <c r="Q48" s="2407">
        <v>0.3</v>
      </c>
      <c r="R48" s="2406">
        <v>9</v>
      </c>
      <c r="S48" s="2407">
        <v>0.3</v>
      </c>
      <c r="T48" s="2406">
        <v>9</v>
      </c>
      <c r="U48" s="2407">
        <v>0.3</v>
      </c>
      <c r="V48" s="2406">
        <v>9</v>
      </c>
      <c r="W48" s="2407">
        <v>0.3</v>
      </c>
      <c r="X48" s="2406">
        <v>9</v>
      </c>
      <c r="Y48" s="2407">
        <v>0.3</v>
      </c>
      <c r="Z48" s="2406">
        <v>9</v>
      </c>
      <c r="AA48" s="2407">
        <v>0.3</v>
      </c>
      <c r="AB48" s="2406">
        <v>9</v>
      </c>
      <c r="AC48" s="2407">
        <v>0.3</v>
      </c>
      <c r="AD48" s="2406">
        <v>9</v>
      </c>
      <c r="AE48" s="2407">
        <v>0.15</v>
      </c>
      <c r="AF48" s="2406">
        <v>3</v>
      </c>
      <c r="AG48" s="2408">
        <v>12</v>
      </c>
      <c r="AH48" s="2407">
        <f>ROUND(2*3.14285714285714*E48/2,2)</f>
        <v>3.11</v>
      </c>
      <c r="AI48" s="2408">
        <v>8</v>
      </c>
      <c r="AJ48" s="2759" t="s">
        <v>2107</v>
      </c>
      <c r="AK48" s="2759"/>
      <c r="AL48" s="1050"/>
      <c r="AM48" s="1050"/>
      <c r="AN48" s="1050"/>
      <c r="AO48" s="1050"/>
      <c r="AP48" s="1050"/>
      <c r="AQ48" s="1050"/>
      <c r="AR48" s="1050"/>
      <c r="AS48" s="1050"/>
      <c r="AT48" s="1050"/>
      <c r="AU48" s="1050"/>
      <c r="AV48" s="1050"/>
      <c r="AW48" s="1050"/>
      <c r="AX48" s="1050"/>
      <c r="AY48" s="1050"/>
      <c r="AZ48" s="1050"/>
      <c r="BA48" s="1050"/>
      <c r="BB48" s="1050"/>
      <c r="BC48" s="1050"/>
      <c r="BD48" s="2417"/>
      <c r="BE48" s="2417"/>
    </row>
    <row r="49" spans="1:60" customFormat="1">
      <c r="B49" s="2406">
        <v>3</v>
      </c>
      <c r="C49" s="2407">
        <v>1</v>
      </c>
      <c r="D49" s="2407">
        <f>+D48</f>
        <v>2.5</v>
      </c>
      <c r="E49" s="2407">
        <f>+C49+H49</f>
        <v>1.22</v>
      </c>
      <c r="F49" s="2407">
        <f t="shared" si="19"/>
        <v>0.65999999999999992</v>
      </c>
      <c r="G49" s="2407">
        <f>+IF(F49&lt;0,"N",F49)</f>
        <v>0.65999999999999992</v>
      </c>
      <c r="H49" s="2407">
        <f>0.11*2</f>
        <v>0.22</v>
      </c>
      <c r="I49" s="2407">
        <v>0.15</v>
      </c>
      <c r="J49" s="2407">
        <v>1.6</v>
      </c>
      <c r="K49" s="2407">
        <v>1.2</v>
      </c>
      <c r="L49" s="2406">
        <v>9</v>
      </c>
      <c r="M49" s="2407">
        <v>0.3</v>
      </c>
      <c r="N49" s="2406">
        <v>9</v>
      </c>
      <c r="O49" s="2407">
        <v>0.3</v>
      </c>
      <c r="P49" s="2406">
        <v>9</v>
      </c>
      <c r="Q49" s="2407">
        <v>0.3</v>
      </c>
      <c r="R49" s="2406">
        <v>9</v>
      </c>
      <c r="S49" s="2407">
        <v>0.3</v>
      </c>
      <c r="T49" s="2406">
        <v>9</v>
      </c>
      <c r="U49" s="2407">
        <v>0.3</v>
      </c>
      <c r="V49" s="2406">
        <v>9</v>
      </c>
      <c r="W49" s="2407">
        <v>0.3</v>
      </c>
      <c r="X49" s="2406">
        <v>9</v>
      </c>
      <c r="Y49" s="2407">
        <v>0.3</v>
      </c>
      <c r="Z49" s="2406">
        <v>9</v>
      </c>
      <c r="AA49" s="2407">
        <v>0.3</v>
      </c>
      <c r="AB49" s="2406">
        <v>9</v>
      </c>
      <c r="AC49" s="2407">
        <v>0.3</v>
      </c>
      <c r="AD49" s="2406">
        <v>9</v>
      </c>
      <c r="AE49" s="2407">
        <v>0.15</v>
      </c>
      <c r="AF49" s="2406">
        <v>3</v>
      </c>
      <c r="AG49" s="2408">
        <v>12</v>
      </c>
      <c r="AH49" s="2407">
        <f>ROUND(2*3.14285714285714*E49/2,2)</f>
        <v>3.83</v>
      </c>
      <c r="AI49" s="2408">
        <v>8</v>
      </c>
      <c r="AJ49" s="2419">
        <v>0.435</v>
      </c>
      <c r="AK49" s="2414">
        <f>8*2</f>
        <v>16</v>
      </c>
      <c r="AL49" s="1050"/>
      <c r="AM49" s="1050"/>
      <c r="AN49" s="1050"/>
      <c r="AO49" s="1050"/>
      <c r="AP49" s="1050"/>
      <c r="AQ49" s="1050"/>
      <c r="AR49" s="1050"/>
      <c r="AS49" s="1050"/>
      <c r="AT49" s="1050"/>
      <c r="AU49" s="1050"/>
      <c r="AV49" s="1050"/>
      <c r="AW49" s="1050"/>
      <c r="AX49" s="1050"/>
      <c r="AY49" s="1050"/>
      <c r="AZ49" s="1050"/>
      <c r="BA49" s="1050"/>
      <c r="BB49" s="1050"/>
      <c r="BC49" s="1050"/>
      <c r="BD49" s="2417"/>
      <c r="BE49" s="2417"/>
    </row>
    <row r="50" spans="1:60" customFormat="1">
      <c r="B50" s="2406">
        <v>4</v>
      </c>
      <c r="C50" s="2407">
        <v>1.2</v>
      </c>
      <c r="D50" s="2407">
        <f>+D49</f>
        <v>2.5</v>
      </c>
      <c r="E50" s="2407">
        <f>+C50+H50</f>
        <v>1.45</v>
      </c>
      <c r="F50" s="2407">
        <f t="shared" si="19"/>
        <v>0.42999999999999994</v>
      </c>
      <c r="G50" s="2407">
        <f>+IF(F50&lt;0,"N",F50)</f>
        <v>0.42999999999999994</v>
      </c>
      <c r="H50" s="2407">
        <f>0.125*2</f>
        <v>0.25</v>
      </c>
      <c r="I50" s="2407">
        <v>0.15</v>
      </c>
      <c r="J50" s="2407">
        <v>1.8</v>
      </c>
      <c r="K50" s="2407">
        <v>1.2</v>
      </c>
      <c r="L50" s="2406">
        <v>9</v>
      </c>
      <c r="M50" s="2407">
        <v>0.18</v>
      </c>
      <c r="N50" s="2406">
        <v>9</v>
      </c>
      <c r="O50" s="2407">
        <v>0.3</v>
      </c>
      <c r="P50" s="2406">
        <v>9</v>
      </c>
      <c r="Q50" s="2407">
        <v>0.18</v>
      </c>
      <c r="R50" s="2406">
        <v>9</v>
      </c>
      <c r="S50" s="2407">
        <v>0.3</v>
      </c>
      <c r="T50" s="2406">
        <v>9</v>
      </c>
      <c r="U50" s="2407">
        <v>0.3</v>
      </c>
      <c r="V50" s="2406">
        <v>9</v>
      </c>
      <c r="W50" s="2407">
        <v>0.24</v>
      </c>
      <c r="X50" s="2406">
        <v>9</v>
      </c>
      <c r="Y50" s="2407">
        <v>0.3</v>
      </c>
      <c r="Z50" s="2406">
        <v>9</v>
      </c>
      <c r="AA50" s="2407">
        <v>0.18</v>
      </c>
      <c r="AB50" s="2406">
        <v>9</v>
      </c>
      <c r="AC50" s="2407">
        <v>0.22</v>
      </c>
      <c r="AD50" s="2406">
        <v>12</v>
      </c>
      <c r="AE50" s="2407">
        <v>0.2</v>
      </c>
      <c r="AF50" s="2406">
        <v>2</v>
      </c>
      <c r="AG50" s="2408">
        <v>16</v>
      </c>
      <c r="AH50" s="2407">
        <f>ROUND(2*3.14285714285714*E50/2,2)</f>
        <v>4.5599999999999996</v>
      </c>
      <c r="AI50" s="2408">
        <v>8</v>
      </c>
      <c r="AJ50" s="1051">
        <v>0.88</v>
      </c>
      <c r="AK50" s="1051">
        <f>5*2</f>
        <v>10</v>
      </c>
      <c r="AL50" s="1050"/>
      <c r="AM50" s="1050"/>
      <c r="AN50" s="1050"/>
      <c r="AO50" s="1050"/>
      <c r="AP50" s="1050"/>
      <c r="AQ50" s="1050"/>
      <c r="AR50" s="1050"/>
      <c r="AS50" s="1050"/>
      <c r="AT50" s="1050"/>
      <c r="AU50" s="1050"/>
      <c r="AV50" s="1050"/>
      <c r="AW50" s="1050"/>
      <c r="AX50" s="1050"/>
      <c r="AY50" s="1050"/>
      <c r="AZ50" s="1050"/>
      <c r="BA50" s="1050"/>
      <c r="BB50" s="1050"/>
      <c r="BC50" s="1050"/>
      <c r="BD50" s="2417"/>
      <c r="BE50" s="2417"/>
    </row>
    <row r="51" spans="1:60" customFormat="1">
      <c r="B51" s="2760">
        <v>1</v>
      </c>
      <c r="C51" s="2761"/>
      <c r="D51" s="2760">
        <v>5</v>
      </c>
      <c r="E51" s="2761"/>
      <c r="F51" s="2760">
        <v>6</v>
      </c>
      <c r="G51" s="2761"/>
      <c r="H51" s="2762">
        <v>7</v>
      </c>
      <c r="I51" s="2762"/>
      <c r="J51" s="2763" t="s">
        <v>2104</v>
      </c>
      <c r="K51" s="2764"/>
      <c r="L51" s="2429" t="s">
        <v>438</v>
      </c>
      <c r="M51" s="2401" t="s">
        <v>604</v>
      </c>
      <c r="N51" s="2401" t="s">
        <v>438</v>
      </c>
      <c r="O51" s="2401" t="s">
        <v>604</v>
      </c>
      <c r="P51" s="2401" t="s">
        <v>438</v>
      </c>
      <c r="Q51" s="2401" t="s">
        <v>604</v>
      </c>
      <c r="R51" s="2401" t="s">
        <v>438</v>
      </c>
      <c r="S51" s="2401" t="s">
        <v>604</v>
      </c>
      <c r="T51" s="2401" t="s">
        <v>438</v>
      </c>
      <c r="U51" s="2401" t="s">
        <v>604</v>
      </c>
      <c r="V51" s="2401" t="s">
        <v>438</v>
      </c>
      <c r="W51" s="2401" t="s">
        <v>604</v>
      </c>
      <c r="X51" s="2401" t="s">
        <v>438</v>
      </c>
      <c r="Y51" s="2401" t="s">
        <v>604</v>
      </c>
      <c r="Z51" s="2401" t="s">
        <v>438</v>
      </c>
      <c r="AA51" s="2401" t="s">
        <v>604</v>
      </c>
      <c r="AB51" s="2401" t="s">
        <v>438</v>
      </c>
      <c r="AC51" s="2401" t="s">
        <v>604</v>
      </c>
      <c r="AD51" s="2401" t="s">
        <v>438</v>
      </c>
      <c r="AE51" s="2401" t="s">
        <v>604</v>
      </c>
      <c r="AF51" s="2401" t="s">
        <v>438</v>
      </c>
      <c r="AG51" s="2401" t="s">
        <v>604</v>
      </c>
      <c r="AH51" s="2401" t="s">
        <v>438</v>
      </c>
      <c r="AI51" s="2401" t="s">
        <v>604</v>
      </c>
      <c r="AJ51" s="1050"/>
      <c r="AK51" s="1050"/>
    </row>
    <row r="52" spans="1:60" customFormat="1">
      <c r="B52" s="2430">
        <f>+E46</f>
        <v>1.22</v>
      </c>
      <c r="C52" s="2400">
        <f>+ROUND(B52/M46+1,)*4</f>
        <v>20</v>
      </c>
      <c r="D52" s="2400">
        <f>+E46</f>
        <v>1.22</v>
      </c>
      <c r="E52" s="2400">
        <f>+ROUND(D52/U46+1,)*4</f>
        <v>20</v>
      </c>
      <c r="F52" s="2400">
        <f>+E46</f>
        <v>1.22</v>
      </c>
      <c r="G52" s="2400">
        <f>+ROUND(F52/W46+1,)*4</f>
        <v>20</v>
      </c>
      <c r="H52" s="2400">
        <f>+E46</f>
        <v>1.22</v>
      </c>
      <c r="I52" s="2400">
        <f>+ROUND(H52/Y46+1,)*4</f>
        <v>20</v>
      </c>
      <c r="J52" s="2756">
        <f>+B52*C52+D52*E52+F52*G52+H52*I52</f>
        <v>97.6</v>
      </c>
      <c r="K52" s="2757"/>
      <c r="L52" s="2415">
        <f>+(J46*2+K46*2+I46*4)</f>
        <v>6.1999999999999993</v>
      </c>
      <c r="M52" s="1051">
        <f>+ROUND(G42/M46+1,)</f>
        <v>7</v>
      </c>
      <c r="N52" s="1052">
        <f>+K46+I46*2</f>
        <v>1.5</v>
      </c>
      <c r="O52" s="2414">
        <f>+ROUND(G42/O46+1,)*2</f>
        <v>14</v>
      </c>
      <c r="P52" s="1052">
        <f>+G42*2+I46*2+J46</f>
        <v>5.6</v>
      </c>
      <c r="Q52" s="1051">
        <f>+ROUND((K46+I46*2)/Q46+1,)</f>
        <v>6</v>
      </c>
      <c r="R52" s="1052">
        <f>+G42</f>
        <v>1.85</v>
      </c>
      <c r="S52" s="2414">
        <f>+ROUND(K46/S46+1,)*2</f>
        <v>10</v>
      </c>
      <c r="T52" s="1052">
        <f>+J46+I46*2</f>
        <v>1.9000000000000001</v>
      </c>
      <c r="U52" s="2414">
        <f>+ROUND(G42/U46+1,)*2</f>
        <v>14</v>
      </c>
      <c r="V52" s="1052">
        <f>+G42*2+K46+I46*2</f>
        <v>5.2</v>
      </c>
      <c r="W52" s="2414">
        <f>+ROUND(J46/W46+1,)</f>
        <v>6</v>
      </c>
      <c r="X52" s="1052">
        <f>+G42</f>
        <v>1.85</v>
      </c>
      <c r="Y52" s="2414">
        <f>+ROUND(J46/Y46+1,)*2</f>
        <v>12</v>
      </c>
      <c r="Z52" s="1052">
        <f>+K46+I46*2</f>
        <v>1.5</v>
      </c>
      <c r="AA52" s="2414">
        <f>+ROUND(J46/AA46+1,)</f>
        <v>6</v>
      </c>
      <c r="AB52" s="1052">
        <f>+J46+I46*2</f>
        <v>1.9000000000000001</v>
      </c>
      <c r="AC52" s="2414">
        <f>+ROUND((K46+I46*2)/AC46+1,)</f>
        <v>6</v>
      </c>
      <c r="AD52" s="1052">
        <f>+K46</f>
        <v>1.2</v>
      </c>
      <c r="AE52" s="2414">
        <f>+ROUND(K46/AE46+1,)*2</f>
        <v>18</v>
      </c>
      <c r="AF52" s="1052">
        <f>+J46+K46+I46*4</f>
        <v>3.4</v>
      </c>
      <c r="AG52" s="1051">
        <f>+AF46</f>
        <v>3</v>
      </c>
      <c r="AH52" s="1051">
        <f>+AH46</f>
        <v>3.83</v>
      </c>
      <c r="AI52" s="1051">
        <f>+AI46</f>
        <v>8</v>
      </c>
      <c r="AJ52" s="1050"/>
      <c r="AK52" s="1050"/>
      <c r="AL52" s="1050"/>
      <c r="AM52" s="1050"/>
      <c r="AN52" s="1050"/>
      <c r="AO52" s="1050"/>
      <c r="AP52" s="1050"/>
      <c r="AQ52" s="1050"/>
      <c r="AR52" s="1050"/>
      <c r="AS52" s="1050"/>
      <c r="AT52" s="1050"/>
      <c r="AU52" s="1050"/>
      <c r="AV52" s="1050"/>
      <c r="AW52" s="1050"/>
      <c r="AX52" s="1050"/>
      <c r="AY52" s="1050"/>
      <c r="AZ52" s="1050"/>
      <c r="BA52" s="1050"/>
      <c r="BB52" s="1050"/>
      <c r="BC52" s="1050"/>
      <c r="BD52" s="1050"/>
    </row>
    <row r="53" spans="1:60" customFormat="1">
      <c r="B53" s="2755" t="s">
        <v>2102</v>
      </c>
      <c r="C53" s="2755"/>
      <c r="D53" s="2755" t="s">
        <v>606</v>
      </c>
      <c r="E53" s="2755"/>
      <c r="F53" s="2752" t="s">
        <v>2109</v>
      </c>
      <c r="G53" s="2752"/>
      <c r="H53" s="2752" t="s">
        <v>182</v>
      </c>
      <c r="I53" s="2752"/>
      <c r="J53" s="2752" t="s">
        <v>2110</v>
      </c>
      <c r="K53" s="2752"/>
      <c r="L53" s="2752" t="s">
        <v>2111</v>
      </c>
      <c r="M53" s="2752"/>
      <c r="N53" s="2421" t="s">
        <v>283</v>
      </c>
      <c r="O53" s="2422">
        <f>+H42*2+I42*2+I46*8</f>
        <v>6.8</v>
      </c>
      <c r="P53" s="2418"/>
      <c r="Q53" s="2418"/>
      <c r="R53" s="2418"/>
      <c r="S53" s="1050"/>
      <c r="T53" s="1050"/>
      <c r="U53" s="1050"/>
      <c r="V53" s="1050"/>
      <c r="W53" s="1050"/>
      <c r="X53" s="1050"/>
      <c r="Y53" s="1050"/>
      <c r="Z53" s="1050"/>
      <c r="AA53" s="1050"/>
      <c r="AB53" s="1050"/>
      <c r="AC53" s="1050"/>
      <c r="AD53" s="1050"/>
      <c r="AE53" s="1050"/>
      <c r="AF53" s="1050"/>
      <c r="AG53" s="1050"/>
      <c r="AH53" s="1050"/>
      <c r="AI53" s="1050"/>
      <c r="AJ53" s="1050"/>
      <c r="AK53" s="1050"/>
      <c r="AL53" s="1050"/>
      <c r="AM53" s="1050"/>
      <c r="AN53" s="1050"/>
      <c r="AO53" s="1050"/>
      <c r="AP53" s="1050"/>
      <c r="AQ53" s="1050"/>
      <c r="AR53" s="1050"/>
      <c r="AS53" s="1050"/>
      <c r="AT53" s="1050"/>
      <c r="AU53" s="1050"/>
      <c r="AV53" s="1050"/>
      <c r="AW53" s="1050"/>
      <c r="AX53" s="1050"/>
      <c r="AY53" s="1050"/>
      <c r="AZ53" s="1050"/>
      <c r="BA53" s="1050"/>
      <c r="BB53" s="1050"/>
      <c r="BC53" s="1050"/>
      <c r="BD53" s="1050"/>
      <c r="BE53" s="1050"/>
      <c r="BF53" s="1050"/>
      <c r="BG53" s="1050"/>
      <c r="BH53" s="1050"/>
    </row>
    <row r="54" spans="1:60" customFormat="1">
      <c r="B54" s="2751">
        <f>+L52*M52+N52*O52+P52*Q52+R52*S52+T52*U52+V52*W52+X52*Y52+Z52*AA52+AB52*AC52</f>
        <v>216.9</v>
      </c>
      <c r="C54" s="2751"/>
      <c r="D54" s="2751">
        <f>+IF(AD46=12,AD52*AE52,)+IF(AG46=12,AF52*AG52,)</f>
        <v>10.199999999999999</v>
      </c>
      <c r="E54" s="2751"/>
      <c r="F54" s="2752" t="s">
        <v>440</v>
      </c>
      <c r="G54" s="2752"/>
      <c r="H54" s="2753">
        <f>+B54-J52+AJ46*AK46+AJ47*AK47+AJ49*AK49+AJ50*AK50+2.2</f>
        <v>174.70000000000002</v>
      </c>
      <c r="I54" s="2753"/>
      <c r="J54" s="2750">
        <v>0.499</v>
      </c>
      <c r="K54" s="2750"/>
      <c r="L54" s="2750">
        <f>+ROUND(H54*J54,2)</f>
        <v>87.18</v>
      </c>
      <c r="M54" s="2750"/>
      <c r="N54" s="2421" t="s">
        <v>2118</v>
      </c>
      <c r="O54" s="2422">
        <f>0.9*4+0.88*6</f>
        <v>8.8800000000000008</v>
      </c>
      <c r="P54" s="2752" t="s">
        <v>2110</v>
      </c>
      <c r="Q54" s="2752"/>
      <c r="R54" s="2752" t="s">
        <v>2111</v>
      </c>
      <c r="S54" s="2752"/>
      <c r="T54" s="1050"/>
      <c r="U54" s="1050"/>
      <c r="V54" s="1050"/>
      <c r="W54" s="1050"/>
      <c r="X54" s="1050"/>
      <c r="Y54" s="1050"/>
      <c r="Z54" s="1050"/>
      <c r="AA54" s="1050"/>
      <c r="AB54" s="1050"/>
      <c r="AC54" s="1050"/>
      <c r="AD54" s="1050"/>
      <c r="AE54" s="1050"/>
      <c r="AF54" s="1050"/>
      <c r="AG54" s="1050"/>
      <c r="AH54" s="1050"/>
      <c r="AI54" s="1050"/>
      <c r="AJ54" s="1050"/>
      <c r="AK54" s="1050"/>
      <c r="AL54" s="1050"/>
      <c r="AM54" s="1050"/>
      <c r="AN54" s="1050"/>
      <c r="AO54" s="1050"/>
      <c r="AP54" s="1050"/>
      <c r="AQ54" s="1050"/>
      <c r="AR54" s="1050"/>
      <c r="AS54" s="1050"/>
      <c r="AT54" s="1050"/>
      <c r="AU54" s="1050"/>
      <c r="AV54" s="1050"/>
      <c r="AW54" s="1050"/>
      <c r="AX54" s="1050"/>
      <c r="AY54" s="1050"/>
      <c r="AZ54" s="1050"/>
      <c r="BA54" s="1050"/>
      <c r="BB54" s="1050"/>
      <c r="BC54" s="1050"/>
      <c r="BD54" s="1050"/>
      <c r="BE54" s="1050"/>
      <c r="BF54" s="1050"/>
      <c r="BG54" s="1050"/>
      <c r="BH54" s="1050"/>
    </row>
    <row r="55" spans="1:60" customFormat="1">
      <c r="B55" s="2755" t="s">
        <v>2103</v>
      </c>
      <c r="C55" s="2755"/>
      <c r="D55" s="2755" t="s">
        <v>2108</v>
      </c>
      <c r="E55" s="2755"/>
      <c r="F55" s="2752" t="s">
        <v>606</v>
      </c>
      <c r="G55" s="2752"/>
      <c r="H55" s="2753">
        <f>+D54</f>
        <v>10.199999999999999</v>
      </c>
      <c r="I55" s="2750"/>
      <c r="J55" s="2750">
        <v>0.88800000000000001</v>
      </c>
      <c r="K55" s="2750"/>
      <c r="L55" s="2750">
        <f t="shared" ref="L55:L56" si="20">+ROUND(H55*J55,2)</f>
        <v>9.06</v>
      </c>
      <c r="M55" s="2750"/>
      <c r="N55" s="2421" t="s">
        <v>2119</v>
      </c>
      <c r="O55" s="2422">
        <f>+(0.25*2+0.3+0.1)*ROUND((F46/0.3+1)+1,)</f>
        <v>3.6</v>
      </c>
      <c r="P55" s="2750">
        <v>2.23</v>
      </c>
      <c r="Q55" s="2750"/>
      <c r="R55" s="2750">
        <f>+ROUND(O55*P55,2)</f>
        <v>8.0299999999999994</v>
      </c>
      <c r="S55" s="2750"/>
      <c r="T55" s="1050"/>
      <c r="U55" s="1050"/>
      <c r="V55" s="1050"/>
      <c r="W55" s="1050"/>
      <c r="X55" s="1050"/>
      <c r="Y55" s="1050"/>
      <c r="Z55" s="1050"/>
      <c r="AA55" s="1050"/>
      <c r="AB55" s="1050"/>
      <c r="AC55" s="1050"/>
      <c r="AD55" s="1050"/>
      <c r="AE55" s="1050"/>
      <c r="AF55" s="1050"/>
      <c r="AG55" s="1050"/>
      <c r="AH55" s="1050"/>
      <c r="AI55" s="1050"/>
      <c r="AJ55" s="1050"/>
      <c r="AK55" s="1050"/>
      <c r="AL55" s="1050"/>
      <c r="AM55" s="1050"/>
      <c r="AN55" s="1050"/>
      <c r="AO55" s="1050"/>
      <c r="AP55" s="1050"/>
      <c r="AQ55" s="1050"/>
      <c r="AR55" s="1050"/>
      <c r="AS55" s="1050"/>
      <c r="AT55" s="1050"/>
      <c r="AU55" s="1050"/>
      <c r="AV55" s="1050"/>
      <c r="AW55" s="1050"/>
      <c r="AX55" s="1050"/>
      <c r="AY55" s="1050"/>
      <c r="AZ55" s="1050"/>
      <c r="BA55" s="1050"/>
      <c r="BB55" s="1050"/>
      <c r="BC55" s="1050"/>
      <c r="BD55" s="1050"/>
      <c r="BE55" s="1050"/>
      <c r="BF55" s="1050"/>
      <c r="BG55" s="1050"/>
      <c r="BH55" s="1050"/>
    </row>
    <row r="56" spans="1:60" customFormat="1">
      <c r="B56" s="2751">
        <f>+IF(AD46=9,AD52*AE52,)</f>
        <v>21.599999999999998</v>
      </c>
      <c r="C56" s="2751"/>
      <c r="D56" s="2751">
        <f>+IF(AG46=16,AF52*AG52,)</f>
        <v>0</v>
      </c>
      <c r="E56" s="2751"/>
      <c r="F56" s="2752" t="s">
        <v>2108</v>
      </c>
      <c r="G56" s="2752"/>
      <c r="H56" s="2753">
        <f>+D56</f>
        <v>0</v>
      </c>
      <c r="I56" s="2750"/>
      <c r="J56" s="2754">
        <v>1.58</v>
      </c>
      <c r="K56" s="2754"/>
      <c r="L56" s="2750">
        <f t="shared" si="20"/>
        <v>0</v>
      </c>
      <c r="M56" s="2750"/>
      <c r="N56" s="2421" t="s">
        <v>2120</v>
      </c>
      <c r="O56" s="2422">
        <f>+(0.22*2+0.15)*4+9.8</f>
        <v>12.16</v>
      </c>
      <c r="P56" s="2750">
        <v>1.39</v>
      </c>
      <c r="Q56" s="2750"/>
      <c r="R56" s="2750">
        <f>+ROUND(O56*P56,2)</f>
        <v>16.899999999999999</v>
      </c>
      <c r="S56" s="2750"/>
      <c r="T56" s="1054"/>
      <c r="U56" s="1054"/>
      <c r="V56" s="1054"/>
      <c r="W56" s="1054"/>
      <c r="X56" s="1054"/>
      <c r="Y56" s="1054"/>
      <c r="Z56" s="1054"/>
      <c r="AA56" s="1054"/>
      <c r="AB56" s="1054"/>
      <c r="AC56" s="1054"/>
      <c r="AD56" s="1054"/>
      <c r="AE56" s="1054"/>
      <c r="AF56" s="1054"/>
      <c r="AG56" s="1054"/>
      <c r="AH56" s="1050"/>
      <c r="AI56" s="1050"/>
      <c r="AJ56" s="1050"/>
      <c r="AK56" s="1050"/>
      <c r="AL56" s="1050"/>
      <c r="AM56" s="1050"/>
      <c r="AN56" s="1050"/>
      <c r="AO56" s="1050"/>
      <c r="AP56" s="1050"/>
      <c r="AQ56" s="1050"/>
      <c r="AR56" s="1050"/>
      <c r="AS56" s="1050"/>
      <c r="AT56" s="1050"/>
      <c r="AU56" s="1050"/>
      <c r="AV56" s="1050"/>
      <c r="AW56" s="1050"/>
      <c r="AX56" s="1050"/>
      <c r="AY56" s="1050"/>
      <c r="AZ56" s="1050"/>
      <c r="BA56" s="1050"/>
      <c r="BB56" s="1050"/>
      <c r="BC56" s="1050"/>
      <c r="BD56" s="1050"/>
      <c r="BE56" s="1050"/>
      <c r="BF56" s="1050"/>
      <c r="BG56" s="1050"/>
      <c r="BH56" s="1050"/>
    </row>
    <row r="57" spans="1:60" customFormat="1">
      <c r="N57" s="2421" t="s">
        <v>608</v>
      </c>
      <c r="O57" s="2422">
        <f>+(0.9*2+0.25*2)*2+0.15*10</f>
        <v>6.1</v>
      </c>
      <c r="P57" s="2750">
        <v>0.222</v>
      </c>
      <c r="Q57" s="2750"/>
      <c r="R57" s="2750">
        <f>+ROUND(O57*P57,2)</f>
        <v>1.35</v>
      </c>
      <c r="S57" s="2750"/>
    </row>
    <row r="58" spans="1:60" customFormat="1" ht="27.75">
      <c r="A58" s="1050"/>
      <c r="B58" s="1059" t="s">
        <v>2117</v>
      </c>
      <c r="C58" s="1050"/>
      <c r="D58" s="1050"/>
      <c r="E58" s="1050"/>
      <c r="F58" s="1050"/>
      <c r="G58" s="2418" t="s">
        <v>2112</v>
      </c>
      <c r="H58" s="2420">
        <v>2.5</v>
      </c>
      <c r="I58" s="1050"/>
      <c r="J58" s="1050"/>
      <c r="K58" s="1050"/>
      <c r="L58" s="1050"/>
      <c r="M58" s="1050"/>
      <c r="N58" s="1050"/>
      <c r="O58" s="1050"/>
      <c r="P58" s="1050"/>
      <c r="Q58" s="1050"/>
      <c r="R58" s="1050"/>
      <c r="X58" s="1050"/>
      <c r="Y58" s="1050"/>
      <c r="Z58" s="1050"/>
      <c r="AA58" s="1050"/>
      <c r="AB58" s="1050"/>
      <c r="AC58" s="1050"/>
      <c r="AD58" s="1050"/>
      <c r="AE58" s="1050"/>
      <c r="AF58" s="1050"/>
      <c r="AG58" s="1050"/>
      <c r="AH58" s="1050"/>
      <c r="AI58" s="1050"/>
      <c r="AJ58" s="1050"/>
      <c r="AK58" s="1050"/>
      <c r="AL58" s="1050"/>
      <c r="AM58" s="1050"/>
      <c r="AN58" s="1050"/>
      <c r="AO58" s="1050"/>
      <c r="AP58" s="1050"/>
      <c r="AQ58" s="1050"/>
      <c r="AR58" s="1050"/>
      <c r="AS58" s="1050"/>
      <c r="AT58" s="1050"/>
      <c r="AU58" s="1050"/>
      <c r="AV58" s="1050"/>
      <c r="AW58" s="1050"/>
      <c r="AX58" s="1050"/>
      <c r="AY58" s="1050"/>
      <c r="AZ58" s="1050"/>
      <c r="BA58" s="1050"/>
      <c r="BB58" s="1050"/>
      <c r="BC58" s="1050"/>
      <c r="BD58" s="1050"/>
      <c r="BE58" s="1050"/>
    </row>
    <row r="59" spans="1:60" customFormat="1">
      <c r="A59" s="1050"/>
      <c r="B59" s="2773" t="s">
        <v>551</v>
      </c>
      <c r="C59" s="2773" t="s">
        <v>712</v>
      </c>
      <c r="D59" s="2773" t="s">
        <v>294</v>
      </c>
      <c r="E59" s="2773" t="s">
        <v>2076</v>
      </c>
      <c r="F59" s="2773" t="s">
        <v>2098</v>
      </c>
      <c r="G59" s="2773" t="s">
        <v>2091</v>
      </c>
      <c r="H59" s="2773" t="s">
        <v>713</v>
      </c>
      <c r="I59" s="2773"/>
      <c r="J59" s="2774" t="s">
        <v>282</v>
      </c>
      <c r="K59" s="2775"/>
      <c r="L59" s="2775"/>
      <c r="M59" s="2775"/>
      <c r="N59" s="2775"/>
      <c r="O59" s="2775"/>
      <c r="P59" s="2776"/>
      <c r="Q59" s="2773" t="s">
        <v>716</v>
      </c>
      <c r="R59" s="2773" t="s">
        <v>585</v>
      </c>
    </row>
    <row r="60" spans="1:60" customFormat="1" ht="48">
      <c r="A60" s="1050"/>
      <c r="B60" s="2773"/>
      <c r="C60" s="2773"/>
      <c r="D60" s="2773"/>
      <c r="E60" s="2773"/>
      <c r="F60" s="2773"/>
      <c r="G60" s="2773"/>
      <c r="H60" s="2402" t="s">
        <v>607</v>
      </c>
      <c r="I60" s="1058" t="s">
        <v>280</v>
      </c>
      <c r="J60" s="2402" t="s">
        <v>2097</v>
      </c>
      <c r="K60" s="2402" t="s">
        <v>714</v>
      </c>
      <c r="L60" s="1058" t="s">
        <v>715</v>
      </c>
      <c r="M60" s="1058" t="s">
        <v>2099</v>
      </c>
      <c r="N60" s="1058" t="s">
        <v>2100</v>
      </c>
      <c r="O60" s="1058" t="s">
        <v>2101</v>
      </c>
      <c r="P60" s="1058" t="s">
        <v>28</v>
      </c>
      <c r="Q60" s="2773"/>
      <c r="R60" s="2773"/>
    </row>
    <row r="61" spans="1:60" customFormat="1">
      <c r="A61" s="1050"/>
      <c r="B61" s="1053">
        <f>VLOOKUP($X$4,$B$66:$C$69,2)</f>
        <v>1</v>
      </c>
      <c r="C61" s="1052">
        <f>+$E$65</f>
        <v>1.22</v>
      </c>
      <c r="D61" s="1051">
        <f>ROUND((22/7*C61^2)/4,3)</f>
        <v>1.169</v>
      </c>
      <c r="E61" s="1052">
        <f>ROUND($D$65*($J$65+0.3)*($K$65+0.3),3)</f>
        <v>7.125</v>
      </c>
      <c r="F61" s="1053">
        <v>0.3</v>
      </c>
      <c r="G61" s="1052">
        <f>+$D$65-0.65</f>
        <v>1.85</v>
      </c>
      <c r="H61" s="1052">
        <f>+$J$65</f>
        <v>1.6</v>
      </c>
      <c r="I61" s="1052">
        <f>+$K$65</f>
        <v>1.2</v>
      </c>
      <c r="J61" s="1052">
        <f>ROUND($I$61*$G$61*$I$65*3,2)</f>
        <v>1</v>
      </c>
      <c r="K61" s="1052">
        <f>ROUND(($H$61*$G$61-$D$61)*$I$65,2)</f>
        <v>0.27</v>
      </c>
      <c r="L61" s="1051">
        <f>ROUND($H$61*$I$61*$I$65,3)</f>
        <v>0.28799999999999998</v>
      </c>
      <c r="M61" s="1052">
        <f>ROUND((((H61+I65*2)*(I61+I65*2))-(0.8*0.8))*0.12,2)</f>
        <v>0.27</v>
      </c>
      <c r="N61" s="1052">
        <f>ROUND((1.1*1+0.8*2)*$I$65,2)</f>
        <v>0.41</v>
      </c>
      <c r="O61" s="1052">
        <f>ROUND((0.87*0.87)*0.075,2)</f>
        <v>0.06</v>
      </c>
      <c r="P61" s="1052">
        <f>SUM(J61:O61)</f>
        <v>2.298</v>
      </c>
      <c r="Q61" s="1051">
        <f>ROUND(0.05*($J$65+0.3)*($K$65+0.3),2)</f>
        <v>0.14000000000000001</v>
      </c>
      <c r="R61" s="1051">
        <f>ROUND(0.1*($J$65+0.3)*($K$65+0.3),2)</f>
        <v>0.28999999999999998</v>
      </c>
    </row>
    <row r="62" spans="1:60" customFormat="1">
      <c r="X62" s="1050"/>
      <c r="Y62" s="1050"/>
      <c r="Z62" s="1050"/>
      <c r="AA62" s="1050"/>
      <c r="AB62" s="1050"/>
      <c r="AC62" s="1050"/>
      <c r="AD62" s="1050"/>
      <c r="AE62" s="1050"/>
      <c r="AF62" s="1050"/>
      <c r="AG62" s="1050"/>
      <c r="AH62" s="1050"/>
      <c r="AI62" s="1050"/>
      <c r="AJ62" s="1050"/>
      <c r="AK62" s="1050"/>
      <c r="AL62" s="1050"/>
      <c r="AM62" s="1050"/>
      <c r="AN62" s="1050"/>
      <c r="AO62" s="1050"/>
      <c r="AP62" s="1050"/>
      <c r="AQ62" s="1050"/>
      <c r="AR62" s="1050"/>
      <c r="AS62" s="1050"/>
      <c r="AT62" s="1050"/>
      <c r="AU62" s="1050"/>
      <c r="AV62" s="1050"/>
      <c r="AW62" s="1050"/>
      <c r="AX62" s="1050"/>
      <c r="AY62" s="1050"/>
      <c r="AZ62" s="1050"/>
      <c r="BA62" s="1050"/>
      <c r="BB62" s="1050"/>
      <c r="BC62" s="1050"/>
      <c r="BD62" s="1050"/>
      <c r="BE62" s="1050"/>
      <c r="BF62" s="1050"/>
      <c r="BG62" s="1050"/>
      <c r="BH62" s="1050"/>
    </row>
    <row r="63" spans="1:60" customFormat="1">
      <c r="B63" s="2769" t="s">
        <v>604</v>
      </c>
      <c r="C63" s="2769" t="s">
        <v>2092</v>
      </c>
      <c r="D63" s="2758" t="s">
        <v>274</v>
      </c>
      <c r="E63" s="2771" t="s">
        <v>2088</v>
      </c>
      <c r="F63" s="2758" t="s">
        <v>2086</v>
      </c>
      <c r="G63" s="2768" t="s">
        <v>2089</v>
      </c>
      <c r="H63" s="2758" t="s">
        <v>416</v>
      </c>
      <c r="I63" s="2758" t="s">
        <v>2090</v>
      </c>
      <c r="J63" s="2765" t="s">
        <v>713</v>
      </c>
      <c r="K63" s="2766"/>
      <c r="L63" s="2765">
        <v>1</v>
      </c>
      <c r="M63" s="2766"/>
      <c r="N63" s="2765">
        <f>+L63+1</f>
        <v>2</v>
      </c>
      <c r="O63" s="2766"/>
      <c r="P63" s="2765">
        <f>+N63+1</f>
        <v>3</v>
      </c>
      <c r="Q63" s="2766"/>
      <c r="R63" s="2765">
        <f t="shared" ref="R63" si="21">+P63+1</f>
        <v>4</v>
      </c>
      <c r="S63" s="2766"/>
      <c r="T63" s="2765">
        <f t="shared" ref="T63" si="22">+R63+1</f>
        <v>5</v>
      </c>
      <c r="U63" s="2766"/>
      <c r="V63" s="2765">
        <f t="shared" ref="V63" si="23">+T63+1</f>
        <v>6</v>
      </c>
      <c r="W63" s="2766"/>
      <c r="X63" s="2765">
        <f t="shared" ref="X63" si="24">+V63+1</f>
        <v>7</v>
      </c>
      <c r="Y63" s="2766"/>
      <c r="Z63" s="2767">
        <f t="shared" ref="Z63" si="25">+X63+1</f>
        <v>8</v>
      </c>
      <c r="AA63" s="2767"/>
      <c r="AB63" s="2767">
        <f t="shared" ref="AB63" si="26">+Z63+1</f>
        <v>9</v>
      </c>
      <c r="AC63" s="2767"/>
      <c r="AD63" s="2767">
        <f t="shared" ref="AD63" si="27">+AB63+1</f>
        <v>10</v>
      </c>
      <c r="AE63" s="2767"/>
      <c r="AF63" s="2767">
        <f t="shared" ref="AF63" si="28">+AD63+1</f>
        <v>11</v>
      </c>
      <c r="AG63" s="2767"/>
      <c r="AH63" s="2758" t="s">
        <v>2105</v>
      </c>
      <c r="AI63" s="2758"/>
      <c r="AJ63" s="2758" t="s">
        <v>2106</v>
      </c>
      <c r="AK63" s="2758"/>
      <c r="AL63" s="1050"/>
      <c r="AM63" s="1050"/>
      <c r="AN63" s="1050"/>
      <c r="AO63" s="1050"/>
      <c r="AP63" s="1050"/>
      <c r="AQ63" s="1050"/>
      <c r="AR63" s="1050"/>
      <c r="AS63" s="1050"/>
      <c r="AT63" s="1050"/>
      <c r="AU63" s="1050"/>
      <c r="AV63" s="1050"/>
      <c r="AW63" s="1050"/>
      <c r="AX63" s="1050"/>
      <c r="AY63" s="1050"/>
      <c r="AZ63" s="1050"/>
      <c r="BA63" s="1050"/>
      <c r="BB63" s="1050"/>
      <c r="BC63" s="1050"/>
      <c r="BD63" s="2416"/>
      <c r="BE63" s="2416"/>
    </row>
    <row r="64" spans="1:60" customFormat="1">
      <c r="B64" s="2770"/>
      <c r="C64" s="2770"/>
      <c r="D64" s="2758"/>
      <c r="E64" s="2772"/>
      <c r="F64" s="2758"/>
      <c r="G64" s="2758"/>
      <c r="H64" s="2758"/>
      <c r="I64" s="2758"/>
      <c r="J64" s="2423" t="s">
        <v>607</v>
      </c>
      <c r="K64" s="2423" t="s">
        <v>280</v>
      </c>
      <c r="L64" s="2424" t="s">
        <v>605</v>
      </c>
      <c r="M64" s="2425" t="s">
        <v>279</v>
      </c>
      <c r="N64" s="2424" t="s">
        <v>605</v>
      </c>
      <c r="O64" s="2425" t="s">
        <v>279</v>
      </c>
      <c r="P64" s="2424" t="s">
        <v>605</v>
      </c>
      <c r="Q64" s="2425" t="s">
        <v>279</v>
      </c>
      <c r="R64" s="2424" t="s">
        <v>605</v>
      </c>
      <c r="S64" s="2425" t="s">
        <v>279</v>
      </c>
      <c r="T64" s="2424" t="s">
        <v>605</v>
      </c>
      <c r="U64" s="2425" t="s">
        <v>279</v>
      </c>
      <c r="V64" s="2424" t="s">
        <v>605</v>
      </c>
      <c r="W64" s="2425" t="s">
        <v>279</v>
      </c>
      <c r="X64" s="2424" t="s">
        <v>605</v>
      </c>
      <c r="Y64" s="2425" t="s">
        <v>279</v>
      </c>
      <c r="Z64" s="2424" t="s">
        <v>605</v>
      </c>
      <c r="AA64" s="2425" t="s">
        <v>279</v>
      </c>
      <c r="AB64" s="2424" t="s">
        <v>605</v>
      </c>
      <c r="AC64" s="2425" t="s">
        <v>279</v>
      </c>
      <c r="AD64" s="2424" t="s">
        <v>605</v>
      </c>
      <c r="AE64" s="2425" t="s">
        <v>279</v>
      </c>
      <c r="AF64" s="2424" t="s">
        <v>605</v>
      </c>
      <c r="AG64" s="2425" t="s">
        <v>279</v>
      </c>
      <c r="AH64" s="2425" t="s">
        <v>438</v>
      </c>
      <c r="AI64" s="2425" t="s">
        <v>22</v>
      </c>
      <c r="AJ64" s="2425" t="s">
        <v>438</v>
      </c>
      <c r="AK64" s="2425" t="s">
        <v>22</v>
      </c>
      <c r="AL64" s="1050"/>
      <c r="AM64" s="1050"/>
      <c r="AN64" s="1050"/>
      <c r="AO64" s="1050"/>
      <c r="AP64" s="1050"/>
      <c r="AQ64" s="1050"/>
      <c r="AR64" s="1050"/>
      <c r="AS64" s="1050"/>
      <c r="AT64" s="1050"/>
      <c r="AU64" s="1050"/>
      <c r="AV64" s="1050"/>
      <c r="AW64" s="1050"/>
      <c r="AX64" s="1050"/>
      <c r="AY64" s="1050"/>
      <c r="AZ64" s="1050"/>
      <c r="BA64" s="1050"/>
      <c r="BB64" s="1050"/>
      <c r="BC64" s="1050"/>
    </row>
    <row r="65" spans="2:60" customFormat="1">
      <c r="B65" s="2426">
        <f>VLOOKUP($X$4,B66:AG69,1)</f>
        <v>3</v>
      </c>
      <c r="C65" s="2427">
        <f>VLOOKUP($X$4,B66:AG69,2)</f>
        <v>1</v>
      </c>
      <c r="D65" s="2427">
        <f>+H58</f>
        <v>2.5</v>
      </c>
      <c r="E65" s="2428">
        <f>VLOOKUP($X$4,B66:AG69,4)</f>
        <v>1.22</v>
      </c>
      <c r="F65" s="2428">
        <f>VLOOKUP($X$4,B66:AG69,5)</f>
        <v>0.65999999999999992</v>
      </c>
      <c r="G65" s="2428">
        <f>VLOOKUP($X$4,B66:AG69,6)</f>
        <v>0.65999999999999992</v>
      </c>
      <c r="H65" s="2428">
        <f>VLOOKUP($X$4,B66:AG69,7)</f>
        <v>0.22</v>
      </c>
      <c r="I65" s="2428">
        <f>VLOOKUP($X$4,B66:AG69,8)</f>
        <v>0.15</v>
      </c>
      <c r="J65" s="2427">
        <f>VLOOKUP($X$4,B66:AG69,9)</f>
        <v>1.6</v>
      </c>
      <c r="K65" s="2427">
        <f>VLOOKUP($X$4,B66:AG69,10)</f>
        <v>1.2</v>
      </c>
      <c r="L65" s="2428">
        <f>VLOOKUP($X$4,B66:AG69,11)</f>
        <v>9</v>
      </c>
      <c r="M65" s="2428">
        <f>VLOOKUP($X$4,B66:AG69,12)</f>
        <v>0.3</v>
      </c>
      <c r="N65" s="2428">
        <f>VLOOKUP($X$4,B66:AG69,13)</f>
        <v>9</v>
      </c>
      <c r="O65" s="2427">
        <f>VLOOKUP($X$4,B66:AG69,14)</f>
        <v>0.3</v>
      </c>
      <c r="P65" s="2428">
        <f>VLOOKUP($X$4,B66:AG69,15)</f>
        <v>9</v>
      </c>
      <c r="Q65" s="2428">
        <f>VLOOKUP($X$4,B66:AG69,16)</f>
        <v>0.3</v>
      </c>
      <c r="R65" s="2428">
        <f>VLOOKUP($X$4,B66:AG69,17)</f>
        <v>9</v>
      </c>
      <c r="S65" s="2427">
        <f>VLOOKUP($X$4,B66:AG69,18)</f>
        <v>0.3</v>
      </c>
      <c r="T65" s="2428">
        <f>VLOOKUP($X$4,B66:AG69,19)</f>
        <v>9</v>
      </c>
      <c r="U65" s="2427">
        <f>VLOOKUP($X$4,B66:AG69,20)</f>
        <v>0.3</v>
      </c>
      <c r="V65" s="2428">
        <f>VLOOKUP($X$4,B66:AG69,21)</f>
        <v>9</v>
      </c>
      <c r="W65" s="2428">
        <f>VLOOKUP($X$4,B66:AG69,22)</f>
        <v>0.3</v>
      </c>
      <c r="X65" s="2428">
        <f>VLOOKUP($X$4,B66:AG69,23)</f>
        <v>9</v>
      </c>
      <c r="Y65" s="2427">
        <f>VLOOKUP($X$4,B66:AG69,24)</f>
        <v>0.3</v>
      </c>
      <c r="Z65" s="2428">
        <f>VLOOKUP($X$4,B66:AG69,25)</f>
        <v>9</v>
      </c>
      <c r="AA65" s="2428">
        <f>VLOOKUP($X$4,B66:AG69,26)</f>
        <v>0.3</v>
      </c>
      <c r="AB65" s="2428">
        <f>VLOOKUP($X$4,B66:AG69,27)</f>
        <v>9</v>
      </c>
      <c r="AC65" s="2428">
        <f>VLOOKUP($X$4,B66:AG69,28)</f>
        <v>0.3</v>
      </c>
      <c r="AD65" s="2428">
        <f>VLOOKUP($X$4,B66:AG69,29)</f>
        <v>9</v>
      </c>
      <c r="AE65" s="2427">
        <f>VLOOKUP($X$4,B66:AG69,30)</f>
        <v>0.15</v>
      </c>
      <c r="AF65" s="2428">
        <f>VLOOKUP($X$4,B66:AG69,31)</f>
        <v>3</v>
      </c>
      <c r="AG65" s="2428">
        <f>VLOOKUP($X$4,B66:AG69,32)</f>
        <v>12</v>
      </c>
      <c r="AH65" s="2428">
        <f>VLOOKUP($X$4,B66:AH69,33)</f>
        <v>3.83</v>
      </c>
      <c r="AI65" s="2428">
        <f>VLOOKUP($X$4,B66:AI69,34)</f>
        <v>2</v>
      </c>
      <c r="AJ65" s="1052">
        <v>4.4000000000000004</v>
      </c>
      <c r="AK65" s="2414">
        <f>+ROUND(0.5/0.15+1,)</f>
        <v>4</v>
      </c>
      <c r="AL65" s="1050"/>
      <c r="AM65" s="1050"/>
      <c r="AN65" s="1050"/>
      <c r="AO65" s="1050"/>
      <c r="AP65" s="1050"/>
      <c r="AQ65" s="1050"/>
      <c r="AR65" s="1050"/>
      <c r="AS65" s="1050"/>
      <c r="AT65" s="1050"/>
      <c r="AU65" s="1050"/>
      <c r="AV65" s="1050"/>
      <c r="AW65" s="1050"/>
      <c r="AX65" s="1050"/>
      <c r="AY65" s="1050"/>
      <c r="AZ65" s="1050"/>
      <c r="BA65" s="1050"/>
      <c r="BB65" s="1050"/>
      <c r="BC65" s="1050"/>
    </row>
    <row r="66" spans="2:60" customFormat="1">
      <c r="B66" s="2406">
        <v>1</v>
      </c>
      <c r="C66" s="2407">
        <v>0.6</v>
      </c>
      <c r="D66" s="2407">
        <v>2.5</v>
      </c>
      <c r="E66" s="2407">
        <f>+C66+H66</f>
        <v>0.75</v>
      </c>
      <c r="F66" s="2407">
        <f>+D66-0.62-E66</f>
        <v>1.1299999999999999</v>
      </c>
      <c r="G66" s="2407">
        <f>+IF(F66&lt;0,"N",F66)</f>
        <v>1.1299999999999999</v>
      </c>
      <c r="H66" s="2407">
        <v>0.15</v>
      </c>
      <c r="I66" s="2407">
        <v>0.15</v>
      </c>
      <c r="J66" s="2407">
        <v>1.2</v>
      </c>
      <c r="K66" s="2407">
        <v>1</v>
      </c>
      <c r="L66" s="2406">
        <v>9</v>
      </c>
      <c r="M66" s="2407">
        <v>0.3</v>
      </c>
      <c r="N66" s="2406">
        <v>9</v>
      </c>
      <c r="O66" s="2407">
        <v>0.3</v>
      </c>
      <c r="P66" s="2406">
        <v>9</v>
      </c>
      <c r="Q66" s="2407">
        <v>0.3</v>
      </c>
      <c r="R66" s="2406">
        <v>9</v>
      </c>
      <c r="S66" s="2407">
        <v>0.3</v>
      </c>
      <c r="T66" s="2406">
        <v>9</v>
      </c>
      <c r="U66" s="2407">
        <v>0.3</v>
      </c>
      <c r="V66" s="2406">
        <v>9</v>
      </c>
      <c r="W66" s="2407">
        <v>0.3</v>
      </c>
      <c r="X66" s="2406">
        <v>9</v>
      </c>
      <c r="Y66" s="2407">
        <v>0.3</v>
      </c>
      <c r="Z66" s="2406">
        <v>9</v>
      </c>
      <c r="AA66" s="2407">
        <v>0.3</v>
      </c>
      <c r="AB66" s="2406">
        <v>9</v>
      </c>
      <c r="AC66" s="2407">
        <v>0.3</v>
      </c>
      <c r="AD66" s="2406">
        <v>9</v>
      </c>
      <c r="AE66" s="2407">
        <v>0.15</v>
      </c>
      <c r="AF66" s="2406">
        <v>3</v>
      </c>
      <c r="AG66" s="2408">
        <v>12</v>
      </c>
      <c r="AH66" s="2407">
        <f>ROUND(2*3.14285714285714*E66/2,2)</f>
        <v>2.36</v>
      </c>
      <c r="AI66" s="2408">
        <v>2</v>
      </c>
      <c r="AJ66" s="1051">
        <v>0.62</v>
      </c>
      <c r="AK66" s="2414">
        <f>+ROUND(1.1/0.15+1,)*4</f>
        <v>32</v>
      </c>
      <c r="AL66" s="1050"/>
      <c r="AM66" s="1050"/>
      <c r="AN66" s="1050"/>
      <c r="AO66" s="1050"/>
      <c r="AP66" s="1050"/>
      <c r="AQ66" s="1050"/>
      <c r="AR66" s="1050"/>
      <c r="AS66" s="1050"/>
      <c r="AT66" s="1050"/>
      <c r="AU66" s="1050"/>
      <c r="AV66" s="1050"/>
      <c r="AW66" s="1050"/>
      <c r="AX66" s="1050"/>
      <c r="AY66" s="1050"/>
      <c r="AZ66" s="1050"/>
      <c r="BA66" s="1050"/>
      <c r="BB66" s="1050"/>
      <c r="BC66" s="1050"/>
    </row>
    <row r="67" spans="2:60" customFormat="1">
      <c r="B67" s="2406">
        <v>2</v>
      </c>
      <c r="C67" s="2407">
        <v>0.8</v>
      </c>
      <c r="D67" s="2407">
        <f>+D66</f>
        <v>2.5</v>
      </c>
      <c r="E67" s="2407">
        <f>+C67+H67</f>
        <v>0.99</v>
      </c>
      <c r="F67" s="2407">
        <f t="shared" ref="F67:F69" si="29">+D67-0.62-E67</f>
        <v>0.8899999999999999</v>
      </c>
      <c r="G67" s="2407">
        <f>+IF(F67&lt;0,"N",F67)</f>
        <v>0.8899999999999999</v>
      </c>
      <c r="H67" s="2407">
        <f>0.095*2</f>
        <v>0.19</v>
      </c>
      <c r="I67" s="2407">
        <v>0.15</v>
      </c>
      <c r="J67" s="2407">
        <v>1.4</v>
      </c>
      <c r="K67" s="2407">
        <v>1</v>
      </c>
      <c r="L67" s="2406">
        <v>9</v>
      </c>
      <c r="M67" s="2407">
        <v>0.3</v>
      </c>
      <c r="N67" s="2406">
        <v>9</v>
      </c>
      <c r="O67" s="2407">
        <v>0.3</v>
      </c>
      <c r="P67" s="2406">
        <v>9</v>
      </c>
      <c r="Q67" s="2407">
        <v>0.3</v>
      </c>
      <c r="R67" s="2406">
        <v>9</v>
      </c>
      <c r="S67" s="2407">
        <v>0.3</v>
      </c>
      <c r="T67" s="2406">
        <v>9</v>
      </c>
      <c r="U67" s="2407">
        <v>0.3</v>
      </c>
      <c r="V67" s="2406">
        <v>9</v>
      </c>
      <c r="W67" s="2407">
        <v>0.3</v>
      </c>
      <c r="X67" s="2406">
        <v>9</v>
      </c>
      <c r="Y67" s="2407">
        <v>0.3</v>
      </c>
      <c r="Z67" s="2406">
        <v>9</v>
      </c>
      <c r="AA67" s="2407">
        <v>0.3</v>
      </c>
      <c r="AB67" s="2406">
        <v>9</v>
      </c>
      <c r="AC67" s="2407">
        <v>0.3</v>
      </c>
      <c r="AD67" s="2406">
        <v>9</v>
      </c>
      <c r="AE67" s="2407">
        <v>0.15</v>
      </c>
      <c r="AF67" s="2406">
        <v>3</v>
      </c>
      <c r="AG67" s="2408">
        <v>12</v>
      </c>
      <c r="AH67" s="2407">
        <f>ROUND(2*3.14285714285714*E67/2,2)</f>
        <v>3.11</v>
      </c>
      <c r="AI67" s="2408">
        <v>2</v>
      </c>
      <c r="AJ67" s="2759" t="s">
        <v>2107</v>
      </c>
      <c r="AK67" s="2759"/>
      <c r="AL67" s="1050"/>
      <c r="AM67" s="1050"/>
      <c r="AN67" s="1050"/>
      <c r="AO67" s="1050"/>
      <c r="AP67" s="1050"/>
      <c r="AQ67" s="1050"/>
      <c r="AR67" s="1050"/>
      <c r="AS67" s="1050"/>
      <c r="AT67" s="1050"/>
      <c r="AU67" s="1050"/>
      <c r="AV67" s="1050"/>
      <c r="AW67" s="1050"/>
      <c r="AX67" s="1050"/>
      <c r="AY67" s="1050"/>
      <c r="AZ67" s="1050"/>
      <c r="BA67" s="1050"/>
      <c r="BB67" s="1050"/>
      <c r="BC67" s="1050"/>
      <c r="BD67" s="2417"/>
      <c r="BE67" s="2417"/>
    </row>
    <row r="68" spans="2:60" customFormat="1">
      <c r="B68" s="2406">
        <v>3</v>
      </c>
      <c r="C68" s="2407">
        <v>1</v>
      </c>
      <c r="D68" s="2407">
        <f>+D67</f>
        <v>2.5</v>
      </c>
      <c r="E68" s="2407">
        <f>+C68+H68</f>
        <v>1.22</v>
      </c>
      <c r="F68" s="2407">
        <f t="shared" si="29"/>
        <v>0.65999999999999992</v>
      </c>
      <c r="G68" s="2407">
        <f>+IF(F68&lt;0,"N",F68)</f>
        <v>0.65999999999999992</v>
      </c>
      <c r="H68" s="2407">
        <f>0.11*2</f>
        <v>0.22</v>
      </c>
      <c r="I68" s="2407">
        <v>0.15</v>
      </c>
      <c r="J68" s="2407">
        <v>1.6</v>
      </c>
      <c r="K68" s="2407">
        <v>1.2</v>
      </c>
      <c r="L68" s="2406">
        <v>9</v>
      </c>
      <c r="M68" s="2407">
        <v>0.3</v>
      </c>
      <c r="N68" s="2406">
        <v>9</v>
      </c>
      <c r="O68" s="2407">
        <v>0.3</v>
      </c>
      <c r="P68" s="2406">
        <v>9</v>
      </c>
      <c r="Q68" s="2407">
        <v>0.3</v>
      </c>
      <c r="R68" s="2406">
        <v>9</v>
      </c>
      <c r="S68" s="2407">
        <v>0.3</v>
      </c>
      <c r="T68" s="2406">
        <v>9</v>
      </c>
      <c r="U68" s="2407">
        <v>0.3</v>
      </c>
      <c r="V68" s="2406">
        <v>9</v>
      </c>
      <c r="W68" s="2407">
        <v>0.3</v>
      </c>
      <c r="X68" s="2406">
        <v>9</v>
      </c>
      <c r="Y68" s="2407">
        <v>0.3</v>
      </c>
      <c r="Z68" s="2406">
        <v>9</v>
      </c>
      <c r="AA68" s="2407">
        <v>0.3</v>
      </c>
      <c r="AB68" s="2406">
        <v>9</v>
      </c>
      <c r="AC68" s="2407">
        <v>0.3</v>
      </c>
      <c r="AD68" s="2406">
        <v>9</v>
      </c>
      <c r="AE68" s="2407">
        <v>0.15</v>
      </c>
      <c r="AF68" s="2406">
        <v>3</v>
      </c>
      <c r="AG68" s="2408">
        <v>12</v>
      </c>
      <c r="AH68" s="2407">
        <f>ROUND(2*3.14285714285714*E68/2,2)</f>
        <v>3.83</v>
      </c>
      <c r="AI68" s="2408">
        <v>2</v>
      </c>
      <c r="AJ68" s="2419">
        <v>0.435</v>
      </c>
      <c r="AK68" s="2414">
        <f>8*2</f>
        <v>16</v>
      </c>
      <c r="AL68" s="1050"/>
      <c r="AM68" s="1050"/>
      <c r="AN68" s="1050"/>
      <c r="AO68" s="1050"/>
      <c r="AP68" s="1050"/>
      <c r="AQ68" s="1050"/>
      <c r="AR68" s="1050"/>
      <c r="AS68" s="1050"/>
      <c r="AT68" s="1050"/>
      <c r="AU68" s="1050"/>
      <c r="AV68" s="1050"/>
      <c r="AW68" s="1050"/>
      <c r="AX68" s="1050"/>
      <c r="AY68" s="1050"/>
      <c r="AZ68" s="1050"/>
      <c r="BA68" s="1050"/>
      <c r="BB68" s="1050"/>
      <c r="BC68" s="1050"/>
      <c r="BD68" s="2417"/>
      <c r="BE68" s="2417"/>
    </row>
    <row r="69" spans="2:60" customFormat="1">
      <c r="B69" s="2406">
        <v>4</v>
      </c>
      <c r="C69" s="2407">
        <v>1.2</v>
      </c>
      <c r="D69" s="2407">
        <f>+D68</f>
        <v>2.5</v>
      </c>
      <c r="E69" s="2407">
        <f>+C69+H69</f>
        <v>1.45</v>
      </c>
      <c r="F69" s="2407">
        <f t="shared" si="29"/>
        <v>0.42999999999999994</v>
      </c>
      <c r="G69" s="2407">
        <f>+IF(F69&lt;0,"N",F69)</f>
        <v>0.42999999999999994</v>
      </c>
      <c r="H69" s="2407">
        <f>0.125*2</f>
        <v>0.25</v>
      </c>
      <c r="I69" s="2407">
        <v>0.15</v>
      </c>
      <c r="J69" s="2407">
        <v>1.8</v>
      </c>
      <c r="K69" s="2407">
        <v>1.2</v>
      </c>
      <c r="L69" s="2406">
        <v>9</v>
      </c>
      <c r="M69" s="2407">
        <v>0.18</v>
      </c>
      <c r="N69" s="2406">
        <v>9</v>
      </c>
      <c r="O69" s="2407">
        <v>0.3</v>
      </c>
      <c r="P69" s="2406">
        <v>9</v>
      </c>
      <c r="Q69" s="2407">
        <v>0.18</v>
      </c>
      <c r="R69" s="2406">
        <v>9</v>
      </c>
      <c r="S69" s="2407">
        <v>0.3</v>
      </c>
      <c r="T69" s="2406">
        <v>9</v>
      </c>
      <c r="U69" s="2407">
        <v>0.3</v>
      </c>
      <c r="V69" s="2406">
        <v>9</v>
      </c>
      <c r="W69" s="2407">
        <v>0.24</v>
      </c>
      <c r="X69" s="2406">
        <v>9</v>
      </c>
      <c r="Y69" s="2407">
        <v>0.3</v>
      </c>
      <c r="Z69" s="2406">
        <v>9</v>
      </c>
      <c r="AA69" s="2407">
        <v>0.18</v>
      </c>
      <c r="AB69" s="2406">
        <v>9</v>
      </c>
      <c r="AC69" s="2407">
        <v>0.22</v>
      </c>
      <c r="AD69" s="2406">
        <v>12</v>
      </c>
      <c r="AE69" s="2407">
        <v>0.2</v>
      </c>
      <c r="AF69" s="2406">
        <v>2</v>
      </c>
      <c r="AG69" s="2408">
        <v>16</v>
      </c>
      <c r="AH69" s="2407">
        <f>ROUND(2*3.14285714285714*E69/2,2)</f>
        <v>4.5599999999999996</v>
      </c>
      <c r="AI69" s="2408">
        <v>2</v>
      </c>
      <c r="AJ69" s="1051">
        <v>0.88</v>
      </c>
      <c r="AK69" s="1051">
        <f>5*2</f>
        <v>10</v>
      </c>
      <c r="AL69" s="1050"/>
      <c r="AM69" s="1050"/>
      <c r="AN69" s="1050"/>
      <c r="AO69" s="1050"/>
      <c r="AP69" s="1050"/>
      <c r="AQ69" s="1050"/>
      <c r="AR69" s="1050"/>
      <c r="AS69" s="1050"/>
      <c r="AT69" s="1050"/>
      <c r="AU69" s="1050"/>
      <c r="AV69" s="1050"/>
      <c r="AW69" s="1050"/>
      <c r="AX69" s="1050"/>
      <c r="AY69" s="1050"/>
      <c r="AZ69" s="1050"/>
      <c r="BA69" s="1050"/>
      <c r="BB69" s="1050"/>
      <c r="BC69" s="1050"/>
      <c r="BD69" s="2417"/>
      <c r="BE69" s="2417"/>
    </row>
    <row r="70" spans="2:60" customFormat="1">
      <c r="B70" s="2760">
        <v>1</v>
      </c>
      <c r="C70" s="2761"/>
      <c r="D70" s="2760">
        <v>5</v>
      </c>
      <c r="E70" s="2761"/>
      <c r="F70" s="2760">
        <v>6</v>
      </c>
      <c r="G70" s="2761"/>
      <c r="H70" s="2762">
        <v>7</v>
      </c>
      <c r="I70" s="2762"/>
      <c r="J70" s="2763" t="s">
        <v>2104</v>
      </c>
      <c r="K70" s="2764"/>
      <c r="L70" s="2429" t="s">
        <v>438</v>
      </c>
      <c r="M70" s="2401" t="s">
        <v>604</v>
      </c>
      <c r="N70" s="2401" t="s">
        <v>438</v>
      </c>
      <c r="O70" s="2401" t="s">
        <v>604</v>
      </c>
      <c r="P70" s="2401" t="s">
        <v>438</v>
      </c>
      <c r="Q70" s="2401" t="s">
        <v>604</v>
      </c>
      <c r="R70" s="2401" t="s">
        <v>438</v>
      </c>
      <c r="S70" s="2401" t="s">
        <v>604</v>
      </c>
      <c r="T70" s="2401" t="s">
        <v>438</v>
      </c>
      <c r="U70" s="2401" t="s">
        <v>604</v>
      </c>
      <c r="V70" s="2401" t="s">
        <v>438</v>
      </c>
      <c r="W70" s="2401" t="s">
        <v>604</v>
      </c>
      <c r="X70" s="2401" t="s">
        <v>438</v>
      </c>
      <c r="Y70" s="2401" t="s">
        <v>604</v>
      </c>
      <c r="Z70" s="2401" t="s">
        <v>438</v>
      </c>
      <c r="AA70" s="2401" t="s">
        <v>604</v>
      </c>
      <c r="AB70" s="2401" t="s">
        <v>438</v>
      </c>
      <c r="AC70" s="2401" t="s">
        <v>604</v>
      </c>
      <c r="AD70" s="2401" t="s">
        <v>438</v>
      </c>
      <c r="AE70" s="2401" t="s">
        <v>604</v>
      </c>
      <c r="AF70" s="2401" t="s">
        <v>438</v>
      </c>
      <c r="AG70" s="2401" t="s">
        <v>604</v>
      </c>
      <c r="AH70" s="2401" t="s">
        <v>438</v>
      </c>
      <c r="AI70" s="2401" t="s">
        <v>604</v>
      </c>
      <c r="AJ70" s="1050"/>
      <c r="AK70" s="1050"/>
    </row>
    <row r="71" spans="2:60" customFormat="1">
      <c r="B71" s="2430">
        <f>+E65</f>
        <v>1.22</v>
      </c>
      <c r="C71" s="2400">
        <f>+ROUND(B71/M65+1,)</f>
        <v>5</v>
      </c>
      <c r="D71" s="2400">
        <f>+E65</f>
        <v>1.22</v>
      </c>
      <c r="E71" s="2400">
        <f>+ROUND(D71/U65+1,)</f>
        <v>5</v>
      </c>
      <c r="F71" s="2400">
        <f>+E65</f>
        <v>1.22</v>
      </c>
      <c r="G71" s="2400">
        <f>+ROUND(F71/W65+1,)</f>
        <v>5</v>
      </c>
      <c r="H71" s="2400">
        <f>+E65</f>
        <v>1.22</v>
      </c>
      <c r="I71" s="2400">
        <f>+ROUND(H71/Y65+1,)</f>
        <v>5</v>
      </c>
      <c r="J71" s="2756">
        <f>+B71*C71+D71*E71+F71*G71+H71*I71</f>
        <v>24.4</v>
      </c>
      <c r="K71" s="2757"/>
      <c r="L71" s="2415">
        <f>+(J65*2+K65*2+I65*4)</f>
        <v>6.1999999999999993</v>
      </c>
      <c r="M71" s="1051">
        <f>+ROUND(G61/M65+1,)</f>
        <v>7</v>
      </c>
      <c r="N71" s="1052">
        <f>+K65+I65*2</f>
        <v>1.5</v>
      </c>
      <c r="O71" s="2414">
        <f>+ROUND(G61/O65+1,)*2</f>
        <v>14</v>
      </c>
      <c r="P71" s="1052">
        <f>+G61*2+I65*2+J65</f>
        <v>5.6</v>
      </c>
      <c r="Q71" s="1051">
        <f>+ROUND((K65+I65*2)/Q65+1,)</f>
        <v>6</v>
      </c>
      <c r="R71" s="1052">
        <f>+G61</f>
        <v>1.85</v>
      </c>
      <c r="S71" s="2414">
        <f>+ROUND(K65/S65+1,)*2</f>
        <v>10</v>
      </c>
      <c r="T71" s="1052">
        <f>+J65+I65*2</f>
        <v>1.9000000000000001</v>
      </c>
      <c r="U71" s="2414">
        <f>+ROUND(G61/U65+1,)*2</f>
        <v>14</v>
      </c>
      <c r="V71" s="1052">
        <f>+G61*2+K65+I65*2</f>
        <v>5.2</v>
      </c>
      <c r="W71" s="2414">
        <f>+ROUND(J65/W65+1,)</f>
        <v>6</v>
      </c>
      <c r="X71" s="1052">
        <f>+G61</f>
        <v>1.85</v>
      </c>
      <c r="Y71" s="2414">
        <f>+ROUND(J65/Y65+1,)*2</f>
        <v>12</v>
      </c>
      <c r="Z71" s="1052">
        <f>+K65+I65*2</f>
        <v>1.5</v>
      </c>
      <c r="AA71" s="2414">
        <f>+ROUND(J65/AA65+1,)</f>
        <v>6</v>
      </c>
      <c r="AB71" s="1052">
        <f>+J65+I65*2</f>
        <v>1.9000000000000001</v>
      </c>
      <c r="AC71" s="2414">
        <f>+ROUND((K65+I65*2)/AC65+1,)</f>
        <v>6</v>
      </c>
      <c r="AD71" s="1052">
        <f>+K65</f>
        <v>1.2</v>
      </c>
      <c r="AE71" s="2414">
        <f>+ROUND(K65/AE65+1,)*2</f>
        <v>18</v>
      </c>
      <c r="AF71" s="1052">
        <f>+J65+K65+I65*4</f>
        <v>3.4</v>
      </c>
      <c r="AG71" s="1051">
        <f>+AF65</f>
        <v>3</v>
      </c>
      <c r="AH71" s="1051">
        <f>+AH65</f>
        <v>3.83</v>
      </c>
      <c r="AI71" s="1051">
        <f>+AI65</f>
        <v>2</v>
      </c>
      <c r="AJ71" s="1050"/>
      <c r="AK71" s="1050"/>
      <c r="AL71" s="1050"/>
      <c r="AM71" s="1050"/>
      <c r="AN71" s="1050"/>
      <c r="AO71" s="1050"/>
      <c r="AP71" s="1050"/>
      <c r="AQ71" s="1050"/>
      <c r="AR71" s="1050"/>
      <c r="AS71" s="1050"/>
      <c r="AT71" s="1050"/>
      <c r="AU71" s="1050"/>
      <c r="AV71" s="1050"/>
      <c r="AW71" s="1050"/>
      <c r="AX71" s="1050"/>
      <c r="AY71" s="1050"/>
      <c r="AZ71" s="1050"/>
      <c r="BA71" s="1050"/>
      <c r="BB71" s="1050"/>
      <c r="BC71" s="1050"/>
      <c r="BD71" s="1050"/>
    </row>
    <row r="72" spans="2:60" customFormat="1">
      <c r="B72" s="2755" t="s">
        <v>2102</v>
      </c>
      <c r="C72" s="2755"/>
      <c r="D72" s="2755" t="s">
        <v>606</v>
      </c>
      <c r="E72" s="2755"/>
      <c r="F72" s="2752" t="s">
        <v>2109</v>
      </c>
      <c r="G72" s="2752"/>
      <c r="H72" s="2752" t="s">
        <v>182</v>
      </c>
      <c r="I72" s="2752"/>
      <c r="J72" s="2752" t="s">
        <v>2110</v>
      </c>
      <c r="K72" s="2752"/>
      <c r="L72" s="2752" t="s">
        <v>2111</v>
      </c>
      <c r="M72" s="2752"/>
      <c r="N72" s="2421" t="s">
        <v>283</v>
      </c>
      <c r="O72" s="2422">
        <f>+H61*2+I61*2+I65*8</f>
        <v>6.8</v>
      </c>
      <c r="P72" s="2418"/>
      <c r="Q72" s="2418"/>
      <c r="R72" s="2418"/>
      <c r="S72" s="1050"/>
      <c r="T72" s="1050"/>
      <c r="U72" s="1050"/>
      <c r="V72" s="1050"/>
      <c r="W72" s="1050"/>
      <c r="X72" s="1050"/>
      <c r="Y72" s="1050"/>
      <c r="Z72" s="1050"/>
      <c r="AA72" s="1050"/>
      <c r="AB72" s="1050"/>
      <c r="AC72" s="1050"/>
      <c r="AD72" s="1050"/>
      <c r="AE72" s="1050"/>
      <c r="AF72" s="1050"/>
      <c r="AG72" s="1050"/>
      <c r="AH72" s="1050"/>
      <c r="AI72" s="1050"/>
      <c r="AJ72" s="1050"/>
      <c r="AK72" s="1050"/>
      <c r="AL72" s="1050"/>
      <c r="AM72" s="1050"/>
      <c r="AN72" s="1050"/>
      <c r="AO72" s="1050"/>
      <c r="AP72" s="1050"/>
      <c r="AQ72" s="1050"/>
      <c r="AR72" s="1050"/>
      <c r="AS72" s="1050"/>
      <c r="AT72" s="1050"/>
      <c r="AU72" s="1050"/>
      <c r="AV72" s="1050"/>
      <c r="AW72" s="1050"/>
      <c r="AX72" s="1050"/>
      <c r="AY72" s="1050"/>
      <c r="AZ72" s="1050"/>
      <c r="BA72" s="1050"/>
      <c r="BB72" s="1050"/>
      <c r="BC72" s="1050"/>
      <c r="BD72" s="1050"/>
      <c r="BE72" s="1050"/>
      <c r="BF72" s="1050"/>
      <c r="BG72" s="1050"/>
      <c r="BH72" s="1050"/>
    </row>
    <row r="73" spans="2:60" customFormat="1">
      <c r="B73" s="2751">
        <f>+L71*M71+N71*O71+P71*Q71+R71*S71+T71*U71+V71*W71+X71*Y71+Z71*AA71+AB71*AC71</f>
        <v>216.9</v>
      </c>
      <c r="C73" s="2751"/>
      <c r="D73" s="2751">
        <f>+IF(AD65=12,AD71*AE71,)+IF(AG65=12,AF71*AG71,)</f>
        <v>10.199999999999999</v>
      </c>
      <c r="E73" s="2751"/>
      <c r="F73" s="2752" t="s">
        <v>440</v>
      </c>
      <c r="G73" s="2752"/>
      <c r="H73" s="2753">
        <f>+B73-J71+AJ65*AK65+AJ66*AK66+AJ68*AK68+AJ69*AK69+2.2</f>
        <v>247.9</v>
      </c>
      <c r="I73" s="2753"/>
      <c r="J73" s="2750">
        <v>0.499</v>
      </c>
      <c r="K73" s="2750"/>
      <c r="L73" s="2750">
        <f>+ROUND(H73*J73,2)</f>
        <v>123.7</v>
      </c>
      <c r="M73" s="2750"/>
      <c r="N73" s="2421" t="s">
        <v>2118</v>
      </c>
      <c r="O73" s="2422">
        <f>0.9*4+0.88*6</f>
        <v>8.8800000000000008</v>
      </c>
      <c r="P73" s="2752" t="s">
        <v>2110</v>
      </c>
      <c r="Q73" s="2752"/>
      <c r="R73" s="2752" t="s">
        <v>2111</v>
      </c>
      <c r="S73" s="2752"/>
      <c r="T73" s="1050"/>
      <c r="U73" s="1050"/>
      <c r="V73" s="1050"/>
      <c r="W73" s="1050"/>
      <c r="X73" s="1050"/>
      <c r="Y73" s="1050"/>
      <c r="Z73" s="1050"/>
      <c r="AA73" s="1050"/>
      <c r="AB73" s="1050"/>
      <c r="AC73" s="1050"/>
      <c r="AD73" s="1050"/>
      <c r="AE73" s="1050"/>
      <c r="AF73" s="1050"/>
      <c r="AG73" s="1050"/>
      <c r="AH73" s="1050"/>
      <c r="AI73" s="1050"/>
      <c r="AJ73" s="1050"/>
      <c r="AK73" s="1050"/>
      <c r="AL73" s="1050"/>
      <c r="AM73" s="1050"/>
      <c r="AN73" s="1050"/>
      <c r="AO73" s="1050"/>
      <c r="AP73" s="1050"/>
      <c r="AQ73" s="1050"/>
      <c r="AR73" s="1050"/>
      <c r="AS73" s="1050"/>
      <c r="AT73" s="1050"/>
      <c r="AU73" s="1050"/>
      <c r="AV73" s="1050"/>
      <c r="AW73" s="1050"/>
      <c r="AX73" s="1050"/>
      <c r="AY73" s="1050"/>
      <c r="AZ73" s="1050"/>
      <c r="BA73" s="1050"/>
      <c r="BB73" s="1050"/>
      <c r="BC73" s="1050"/>
      <c r="BD73" s="1050"/>
      <c r="BE73" s="1050"/>
      <c r="BF73" s="1050"/>
      <c r="BG73" s="1050"/>
      <c r="BH73" s="1050"/>
    </row>
    <row r="74" spans="2:60" customFormat="1">
      <c r="B74" s="2755" t="s">
        <v>2103</v>
      </c>
      <c r="C74" s="2755"/>
      <c r="D74" s="2755" t="s">
        <v>2108</v>
      </c>
      <c r="E74" s="2755"/>
      <c r="F74" s="2752" t="s">
        <v>606</v>
      </c>
      <c r="G74" s="2752"/>
      <c r="H74" s="2753">
        <f>+D73</f>
        <v>10.199999999999999</v>
      </c>
      <c r="I74" s="2750"/>
      <c r="J74" s="2750">
        <v>0.88800000000000001</v>
      </c>
      <c r="K74" s="2750"/>
      <c r="L74" s="2750">
        <f t="shared" ref="L74:L75" si="30">+ROUND(H74*J74,2)</f>
        <v>9.06</v>
      </c>
      <c r="M74" s="2750"/>
      <c r="N74" s="2421" t="s">
        <v>2119</v>
      </c>
      <c r="O74" s="2422">
        <f>+(0.25*2+0.3+0.1)*ROUND((F65/0.3+1)+1,)</f>
        <v>3.6</v>
      </c>
      <c r="P74" s="2750">
        <v>2.23</v>
      </c>
      <c r="Q74" s="2750"/>
      <c r="R74" s="2750">
        <f>+ROUND(O74*P74,2)</f>
        <v>8.0299999999999994</v>
      </c>
      <c r="S74" s="2750"/>
      <c r="T74" s="1050"/>
      <c r="U74" s="1050"/>
      <c r="V74" s="1050"/>
      <c r="W74" s="1050"/>
      <c r="X74" s="1050"/>
      <c r="Y74" s="1050"/>
      <c r="Z74" s="1050"/>
      <c r="AA74" s="1050"/>
      <c r="AB74" s="1050"/>
      <c r="AC74" s="1050"/>
      <c r="AD74" s="1050"/>
      <c r="AE74" s="1050"/>
      <c r="AF74" s="1050"/>
      <c r="AG74" s="1050"/>
      <c r="AH74" s="1050"/>
      <c r="AI74" s="1050"/>
      <c r="AJ74" s="1050"/>
      <c r="AK74" s="1050"/>
      <c r="AL74" s="1050"/>
      <c r="AM74" s="1050"/>
      <c r="AN74" s="1050"/>
      <c r="AO74" s="1050"/>
      <c r="AP74" s="1050"/>
      <c r="AQ74" s="1050"/>
      <c r="AR74" s="1050"/>
      <c r="AS74" s="1050"/>
      <c r="AT74" s="1050"/>
      <c r="AU74" s="1050"/>
      <c r="AV74" s="1050"/>
      <c r="AW74" s="1050"/>
      <c r="AX74" s="1050"/>
      <c r="AY74" s="1050"/>
      <c r="AZ74" s="1050"/>
      <c r="BA74" s="1050"/>
      <c r="BB74" s="1050"/>
      <c r="BC74" s="1050"/>
      <c r="BD74" s="1050"/>
      <c r="BE74" s="1050"/>
      <c r="BF74" s="1050"/>
      <c r="BG74" s="1050"/>
      <c r="BH74" s="1050"/>
    </row>
    <row r="75" spans="2:60" customFormat="1">
      <c r="B75" s="2751">
        <f>+IF(AD65=9,AD71*AE71,)</f>
        <v>21.599999999999998</v>
      </c>
      <c r="C75" s="2751"/>
      <c r="D75" s="2751">
        <f>+IF(AG65=16,AF71*AG71,)</f>
        <v>0</v>
      </c>
      <c r="E75" s="2751"/>
      <c r="F75" s="2752" t="s">
        <v>2108</v>
      </c>
      <c r="G75" s="2752"/>
      <c r="H75" s="2753">
        <f>+D75</f>
        <v>0</v>
      </c>
      <c r="I75" s="2750"/>
      <c r="J75" s="2754">
        <v>1.58</v>
      </c>
      <c r="K75" s="2754"/>
      <c r="L75" s="2750">
        <f t="shared" si="30"/>
        <v>0</v>
      </c>
      <c r="M75" s="2750"/>
      <c r="N75" s="2421" t="s">
        <v>2120</v>
      </c>
      <c r="O75" s="2422">
        <f>+(0.22*2+0.15)*4+9.8</f>
        <v>12.16</v>
      </c>
      <c r="P75" s="2750">
        <v>1.39</v>
      </c>
      <c r="Q75" s="2750"/>
      <c r="R75" s="2750">
        <f>+ROUND(O75*P75,2)</f>
        <v>16.899999999999999</v>
      </c>
      <c r="S75" s="2750"/>
      <c r="T75" s="1054"/>
      <c r="U75" s="1054"/>
      <c r="V75" s="1054"/>
      <c r="W75" s="1054"/>
      <c r="X75" s="1054"/>
      <c r="Y75" s="1054"/>
      <c r="Z75" s="1054"/>
      <c r="AA75" s="1054"/>
      <c r="AB75" s="1054"/>
      <c r="AC75" s="1054"/>
      <c r="AD75" s="1054"/>
      <c r="AE75" s="1054"/>
      <c r="AF75" s="1054"/>
      <c r="AG75" s="1054"/>
      <c r="AH75" s="1050"/>
      <c r="AI75" s="1050"/>
      <c r="AJ75" s="1050"/>
      <c r="AK75" s="1050"/>
      <c r="AL75" s="1050"/>
      <c r="AM75" s="1050"/>
      <c r="AN75" s="1050"/>
      <c r="AO75" s="1050"/>
      <c r="AP75" s="1050"/>
      <c r="AQ75" s="1050"/>
      <c r="AR75" s="1050"/>
      <c r="AS75" s="1050"/>
      <c r="AT75" s="1050"/>
      <c r="AU75" s="1050"/>
      <c r="AV75" s="1050"/>
      <c r="AW75" s="1050"/>
      <c r="AX75" s="1050"/>
      <c r="AY75" s="1050"/>
      <c r="AZ75" s="1050"/>
      <c r="BA75" s="1050"/>
      <c r="BB75" s="1050"/>
      <c r="BC75" s="1050"/>
      <c r="BD75" s="1050"/>
      <c r="BE75" s="1050"/>
      <c r="BF75" s="1050"/>
      <c r="BG75" s="1050"/>
      <c r="BH75" s="1050"/>
    </row>
    <row r="76" spans="2:60" customFormat="1">
      <c r="N76" s="2421" t="s">
        <v>608</v>
      </c>
      <c r="O76" s="2422">
        <f>+(0.9*2+0.25*2)*2+0.15*10</f>
        <v>6.1</v>
      </c>
      <c r="P76" s="2750">
        <v>0.222</v>
      </c>
      <c r="Q76" s="2750"/>
      <c r="R76" s="2750">
        <f>+ROUND(O76*P76,2)</f>
        <v>1.35</v>
      </c>
      <c r="S76" s="2750"/>
    </row>
    <row r="77" spans="2:60" customFormat="1" ht="21.75"/>
    <row r="78" spans="2:60" customFormat="1" ht="21.75"/>
    <row r="79" spans="2:60" customFormat="1" ht="21.75"/>
    <row r="80" spans="2:60" customFormat="1" ht="21.75"/>
    <row r="81" customFormat="1" ht="21.75"/>
    <row r="82" customFormat="1" ht="21.75"/>
    <row r="83" customFormat="1" ht="21.75"/>
    <row r="84" customFormat="1" ht="21.75"/>
    <row r="85" customFormat="1" ht="21.75"/>
    <row r="86" customFormat="1" ht="21.75"/>
    <row r="87" customFormat="1" ht="21.75"/>
    <row r="88" customFormat="1" ht="21.75"/>
    <row r="89" customFormat="1" ht="21.75"/>
    <row r="90" customFormat="1" ht="21.75"/>
    <row r="91" customFormat="1" ht="21.75"/>
    <row r="92" customFormat="1" ht="21.75"/>
    <row r="93" customFormat="1" ht="21.75"/>
    <row r="94" customFormat="1" ht="21.75"/>
    <row r="95" customFormat="1" ht="21.75"/>
    <row r="96" customFormat="1" ht="21.75"/>
    <row r="97" customFormat="1" ht="21.75"/>
    <row r="98" customFormat="1" ht="21.75"/>
    <row r="99" customFormat="1" ht="21.75"/>
    <row r="100" customFormat="1" ht="21.75"/>
    <row r="101" customFormat="1" ht="21.75"/>
  </sheetData>
  <mergeCells count="284">
    <mergeCell ref="P76:Q76"/>
    <mergeCell ref="R76:S76"/>
    <mergeCell ref="P56:Q56"/>
    <mergeCell ref="R56:S56"/>
    <mergeCell ref="P73:Q73"/>
    <mergeCell ref="R73:S73"/>
    <mergeCell ref="P74:Q74"/>
    <mergeCell ref="R74:S74"/>
    <mergeCell ref="P75:Q75"/>
    <mergeCell ref="R75:S75"/>
    <mergeCell ref="R38:S38"/>
    <mergeCell ref="P57:Q57"/>
    <mergeCell ref="R57:S57"/>
    <mergeCell ref="P35:Q35"/>
    <mergeCell ref="R35:S35"/>
    <mergeCell ref="P36:Q36"/>
    <mergeCell ref="R36:S36"/>
    <mergeCell ref="P37:Q37"/>
    <mergeCell ref="R37:S37"/>
    <mergeCell ref="P54:Q54"/>
    <mergeCell ref="R54:S54"/>
    <mergeCell ref="P55:Q55"/>
    <mergeCell ref="R55:S55"/>
    <mergeCell ref="Q40:Q41"/>
    <mergeCell ref="R40:R41"/>
    <mergeCell ref="B21:B22"/>
    <mergeCell ref="C21:C22"/>
    <mergeCell ref="D21:D22"/>
    <mergeCell ref="E21:E22"/>
    <mergeCell ref="F21:F22"/>
    <mergeCell ref="G21:G22"/>
    <mergeCell ref="H21:I21"/>
    <mergeCell ref="J21:P21"/>
    <mergeCell ref="Q21:Q22"/>
    <mergeCell ref="B25:B26"/>
    <mergeCell ref="C25:C26"/>
    <mergeCell ref="D25:D26"/>
    <mergeCell ref="E25:E26"/>
    <mergeCell ref="F25:F26"/>
    <mergeCell ref="G25:G26"/>
    <mergeCell ref="H25:H26"/>
    <mergeCell ref="I25:I26"/>
    <mergeCell ref="J25:K25"/>
    <mergeCell ref="Q2:Q3"/>
    <mergeCell ref="R2:R3"/>
    <mergeCell ref="H2:I2"/>
    <mergeCell ref="C6:C7"/>
    <mergeCell ref="B6:B7"/>
    <mergeCell ref="N6:O6"/>
    <mergeCell ref="P6:Q6"/>
    <mergeCell ref="L6:M6"/>
    <mergeCell ref="J6:K6"/>
    <mergeCell ref="F6:F7"/>
    <mergeCell ref="G6:G7"/>
    <mergeCell ref="B2:B3"/>
    <mergeCell ref="C2:C3"/>
    <mergeCell ref="F2:F3"/>
    <mergeCell ref="G2:G3"/>
    <mergeCell ref="D2:D3"/>
    <mergeCell ref="E2:E3"/>
    <mergeCell ref="J2:P2"/>
    <mergeCell ref="E6:E7"/>
    <mergeCell ref="H6:H7"/>
    <mergeCell ref="I6:I7"/>
    <mergeCell ref="J35:K35"/>
    <mergeCell ref="AD6:AE6"/>
    <mergeCell ref="AF6:AG6"/>
    <mergeCell ref="D6:D7"/>
    <mergeCell ref="T6:U6"/>
    <mergeCell ref="V6:W6"/>
    <mergeCell ref="X6:Y6"/>
    <mergeCell ref="Z6:AA6"/>
    <mergeCell ref="AB6:AC6"/>
    <mergeCell ref="R6:S6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R21:R22"/>
    <mergeCell ref="L35:M35"/>
    <mergeCell ref="P19:Q19"/>
    <mergeCell ref="B16:C16"/>
    <mergeCell ref="B17:C17"/>
    <mergeCell ref="B18:C18"/>
    <mergeCell ref="D15:E15"/>
    <mergeCell ref="D16:E16"/>
    <mergeCell ref="D17:E17"/>
    <mergeCell ref="D18:E18"/>
    <mergeCell ref="B13:C13"/>
    <mergeCell ref="AH6:AI6"/>
    <mergeCell ref="B15:C15"/>
    <mergeCell ref="D13:E13"/>
    <mergeCell ref="F13:G13"/>
    <mergeCell ref="H13:I13"/>
    <mergeCell ref="J13:K13"/>
    <mergeCell ref="J14:K14"/>
    <mergeCell ref="P16:Q16"/>
    <mergeCell ref="R16:S16"/>
    <mergeCell ref="P17:Q17"/>
    <mergeCell ref="P18:Q18"/>
    <mergeCell ref="R17:S17"/>
    <mergeCell ref="R18:S18"/>
    <mergeCell ref="AH25:AI25"/>
    <mergeCell ref="AJ25:AK25"/>
    <mergeCell ref="AJ29:AK29"/>
    <mergeCell ref="AJ6:AK6"/>
    <mergeCell ref="AJ10:AK10"/>
    <mergeCell ref="F16:G16"/>
    <mergeCell ref="F17:G17"/>
    <mergeCell ref="F18:G18"/>
    <mergeCell ref="F15:G15"/>
    <mergeCell ref="H16:I16"/>
    <mergeCell ref="H17:I17"/>
    <mergeCell ref="H18:I18"/>
    <mergeCell ref="H15:I15"/>
    <mergeCell ref="J15:K15"/>
    <mergeCell ref="J16:K16"/>
    <mergeCell ref="J17:K17"/>
    <mergeCell ref="J18:K18"/>
    <mergeCell ref="L15:M15"/>
    <mergeCell ref="L16:M16"/>
    <mergeCell ref="R19:S19"/>
    <mergeCell ref="B36:C36"/>
    <mergeCell ref="D36:E36"/>
    <mergeCell ref="F36:G36"/>
    <mergeCell ref="H36:I36"/>
    <mergeCell ref="J36:K36"/>
    <mergeCell ref="L36:M36"/>
    <mergeCell ref="L17:M17"/>
    <mergeCell ref="L18:M18"/>
    <mergeCell ref="B32:C32"/>
    <mergeCell ref="D32:E32"/>
    <mergeCell ref="F32:G32"/>
    <mergeCell ref="H32:I32"/>
    <mergeCell ref="J32:K32"/>
    <mergeCell ref="J33:K33"/>
    <mergeCell ref="B34:C34"/>
    <mergeCell ref="D34:E34"/>
    <mergeCell ref="F34:G34"/>
    <mergeCell ref="H34:I34"/>
    <mergeCell ref="J34:K34"/>
    <mergeCell ref="L34:M34"/>
    <mergeCell ref="B35:C35"/>
    <mergeCell ref="D35:E35"/>
    <mergeCell ref="F35:G35"/>
    <mergeCell ref="H35:I35"/>
    <mergeCell ref="L37:M37"/>
    <mergeCell ref="B40:B41"/>
    <mergeCell ref="C40:C41"/>
    <mergeCell ref="D40:D41"/>
    <mergeCell ref="E40:E41"/>
    <mergeCell ref="F40:F41"/>
    <mergeCell ref="G40:G41"/>
    <mergeCell ref="H40:I40"/>
    <mergeCell ref="J40:P40"/>
    <mergeCell ref="B37:C37"/>
    <mergeCell ref="D37:E37"/>
    <mergeCell ref="F37:G37"/>
    <mergeCell ref="H37:I37"/>
    <mergeCell ref="J37:K37"/>
    <mergeCell ref="P38:Q38"/>
    <mergeCell ref="L44:M44"/>
    <mergeCell ref="N44:O44"/>
    <mergeCell ref="P44:Q44"/>
    <mergeCell ref="R44:S44"/>
    <mergeCell ref="B51:C51"/>
    <mergeCell ref="D51:E51"/>
    <mergeCell ref="F51:G51"/>
    <mergeCell ref="H51:I51"/>
    <mergeCell ref="J51:K51"/>
    <mergeCell ref="B44:B45"/>
    <mergeCell ref="C44:C45"/>
    <mergeCell ref="D44:D45"/>
    <mergeCell ref="E44:E45"/>
    <mergeCell ref="F44:F45"/>
    <mergeCell ref="G44:G45"/>
    <mergeCell ref="H44:H45"/>
    <mergeCell ref="I44:I45"/>
    <mergeCell ref="J44:K44"/>
    <mergeCell ref="AD44:AE44"/>
    <mergeCell ref="AF44:AG44"/>
    <mergeCell ref="AH44:AI44"/>
    <mergeCell ref="AJ44:AK44"/>
    <mergeCell ref="AJ48:AK48"/>
    <mergeCell ref="T44:U44"/>
    <mergeCell ref="V44:W44"/>
    <mergeCell ref="X44:Y44"/>
    <mergeCell ref="Z44:AA44"/>
    <mergeCell ref="AB44:AC44"/>
    <mergeCell ref="L53:M53"/>
    <mergeCell ref="B54:C54"/>
    <mergeCell ref="D54:E54"/>
    <mergeCell ref="F54:G54"/>
    <mergeCell ref="H54:I54"/>
    <mergeCell ref="J54:K54"/>
    <mergeCell ref="L54:M54"/>
    <mergeCell ref="J52:K52"/>
    <mergeCell ref="B53:C53"/>
    <mergeCell ref="D53:E53"/>
    <mergeCell ref="F53:G53"/>
    <mergeCell ref="H53:I53"/>
    <mergeCell ref="J53:K53"/>
    <mergeCell ref="B59:B60"/>
    <mergeCell ref="C59:C60"/>
    <mergeCell ref="D59:D60"/>
    <mergeCell ref="E59:E60"/>
    <mergeCell ref="F59:F60"/>
    <mergeCell ref="L55:M55"/>
    <mergeCell ref="B56:C56"/>
    <mergeCell ref="D56:E56"/>
    <mergeCell ref="F56:G56"/>
    <mergeCell ref="H56:I56"/>
    <mergeCell ref="J56:K56"/>
    <mergeCell ref="L56:M56"/>
    <mergeCell ref="B55:C55"/>
    <mergeCell ref="D55:E55"/>
    <mergeCell ref="F55:G55"/>
    <mergeCell ref="H55:I55"/>
    <mergeCell ref="J55:K55"/>
    <mergeCell ref="C63:C64"/>
    <mergeCell ref="D63:D64"/>
    <mergeCell ref="E63:E64"/>
    <mergeCell ref="F63:F64"/>
    <mergeCell ref="G59:G60"/>
    <mergeCell ref="H59:I59"/>
    <mergeCell ref="J59:P59"/>
    <mergeCell ref="Q59:Q60"/>
    <mergeCell ref="R59:R60"/>
    <mergeCell ref="AH63:AI63"/>
    <mergeCell ref="AJ63:AK63"/>
    <mergeCell ref="AJ67:AK67"/>
    <mergeCell ref="B70:C70"/>
    <mergeCell ref="D70:E70"/>
    <mergeCell ref="F70:G70"/>
    <mergeCell ref="H70:I70"/>
    <mergeCell ref="J70:K70"/>
    <mergeCell ref="X63:Y63"/>
    <mergeCell ref="Z63:AA63"/>
    <mergeCell ref="AB63:AC63"/>
    <mergeCell ref="AD63:AE63"/>
    <mergeCell ref="AF63:AG63"/>
    <mergeCell ref="N63:O63"/>
    <mergeCell ref="P63:Q63"/>
    <mergeCell ref="R63:S63"/>
    <mergeCell ref="T63:U63"/>
    <mergeCell ref="V63:W63"/>
    <mergeCell ref="G63:G64"/>
    <mergeCell ref="H63:H64"/>
    <mergeCell ref="I63:I64"/>
    <mergeCell ref="J63:K63"/>
    <mergeCell ref="L63:M63"/>
    <mergeCell ref="B63:B64"/>
    <mergeCell ref="L72:M72"/>
    <mergeCell ref="B73:C73"/>
    <mergeCell ref="D73:E73"/>
    <mergeCell ref="F73:G73"/>
    <mergeCell ref="H73:I73"/>
    <mergeCell ref="J73:K73"/>
    <mergeCell ref="L73:M73"/>
    <mergeCell ref="J71:K71"/>
    <mergeCell ref="B72:C72"/>
    <mergeCell ref="D72:E72"/>
    <mergeCell ref="F72:G72"/>
    <mergeCell ref="H72:I72"/>
    <mergeCell ref="J72:K72"/>
    <mergeCell ref="L74:M74"/>
    <mergeCell ref="B75:C75"/>
    <mergeCell ref="D75:E75"/>
    <mergeCell ref="F75:G75"/>
    <mergeCell ref="H75:I75"/>
    <mergeCell ref="J75:K75"/>
    <mergeCell ref="L75:M75"/>
    <mergeCell ref="B74:C74"/>
    <mergeCell ref="D74:E74"/>
    <mergeCell ref="F74:G74"/>
    <mergeCell ref="H74:I74"/>
    <mergeCell ref="J74:K74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9" r:id="rId4" name="Drop Down 5">
              <controlPr defaultSize="0" print="0" autoLine="0" autoPict="0">
                <anchor moveWithCells="1">
                  <from>
                    <xdr:col>1</xdr:col>
                    <xdr:colOff>19050</xdr:colOff>
                    <xdr:row>60</xdr:row>
                    <xdr:rowOff>28575</xdr:rowOff>
                  </from>
                  <to>
                    <xdr:col>1</xdr:col>
                    <xdr:colOff>657225</xdr:colOff>
                    <xdr:row>60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B1:BY208"/>
  <sheetViews>
    <sheetView topLeftCell="G32" zoomScale="110" zoomScaleNormal="110" workbookViewId="0">
      <selection activeCell="U45" sqref="U45"/>
    </sheetView>
  </sheetViews>
  <sheetFormatPr defaultColWidth="9.140625" defaultRowHeight="21"/>
  <cols>
    <col min="1" max="1" width="4.7109375" style="624" customWidth="1"/>
    <col min="2" max="2" width="10.5703125" style="624" customWidth="1"/>
    <col min="3" max="3" width="9.5703125" style="624" customWidth="1"/>
    <col min="4" max="4" width="10.7109375" style="624" customWidth="1"/>
    <col min="5" max="5" width="11" style="624" customWidth="1"/>
    <col min="6" max="6" width="11.140625" style="624" customWidth="1"/>
    <col min="7" max="7" width="6" style="624" customWidth="1"/>
    <col min="8" max="8" width="31.85546875" style="624" bestFit="1" customWidth="1"/>
    <col min="9" max="9" width="9.140625" style="624"/>
    <col min="10" max="11" width="9.140625" style="1998" customWidth="1"/>
    <col min="12" max="25" width="9.140625" style="624" customWidth="1"/>
    <col min="26" max="27" width="9.5703125" style="624" customWidth="1"/>
    <col min="28" max="55" width="9.140625" style="624" customWidth="1"/>
    <col min="56" max="58" width="9.140625" style="624"/>
    <col min="59" max="59" width="6.5703125" style="624" customWidth="1"/>
    <col min="60" max="60" width="12.140625" style="624" customWidth="1"/>
    <col min="61" max="61" width="15.7109375" style="624" customWidth="1"/>
    <col min="62" max="63" width="16.7109375" style="624" customWidth="1"/>
    <col min="64" max="64" width="12.42578125" style="624" bestFit="1" customWidth="1"/>
    <col min="65" max="65" width="10.42578125" style="624" customWidth="1"/>
    <col min="66" max="66" width="13.5703125" style="624" bestFit="1" customWidth="1"/>
    <col min="67" max="67" width="9.85546875" style="624" customWidth="1"/>
    <col min="68" max="68" width="9.42578125" style="624" customWidth="1"/>
    <col min="69" max="69" width="10.85546875" style="624" customWidth="1"/>
    <col min="70" max="70" width="9.85546875" style="624" customWidth="1"/>
    <col min="71" max="71" width="11.42578125" style="624" bestFit="1" customWidth="1"/>
    <col min="72" max="72" width="13.140625" style="624" customWidth="1"/>
    <col min="73" max="73" width="12.5703125" style="624" customWidth="1"/>
    <col min="74" max="16384" width="9.140625" style="624"/>
  </cols>
  <sheetData>
    <row r="1" spans="2:77" ht="21.75" customHeight="1">
      <c r="B1" s="621" t="s">
        <v>1240</v>
      </c>
      <c r="C1" s="622"/>
      <c r="D1" s="623"/>
      <c r="E1" s="2787" t="s">
        <v>113</v>
      </c>
      <c r="F1" s="2788"/>
      <c r="H1" s="625" t="s">
        <v>69</v>
      </c>
      <c r="I1" s="626" t="s">
        <v>136</v>
      </c>
      <c r="J1" s="629"/>
      <c r="K1" s="628">
        <f>C2</f>
        <v>23.5</v>
      </c>
      <c r="L1" s="627"/>
      <c r="M1" s="629"/>
      <c r="N1" s="627"/>
      <c r="O1" s="627"/>
      <c r="P1" s="627"/>
      <c r="Q1" s="627"/>
      <c r="R1" s="627"/>
      <c r="S1" s="627"/>
      <c r="T1" s="627"/>
      <c r="U1" s="627"/>
      <c r="V1" s="627"/>
      <c r="W1" s="627"/>
      <c r="X1" s="627"/>
      <c r="Y1" s="627"/>
      <c r="Z1" s="630"/>
      <c r="AA1" s="630"/>
      <c r="AB1" s="630"/>
      <c r="AC1" s="630"/>
      <c r="AD1" s="630"/>
      <c r="AE1" s="630"/>
      <c r="AF1" s="630"/>
      <c r="AG1" s="630"/>
      <c r="AH1" s="630"/>
      <c r="AI1" s="630"/>
      <c r="AJ1" s="630"/>
      <c r="AK1" s="630"/>
      <c r="AL1" s="630"/>
      <c r="AM1" s="630"/>
      <c r="AN1" s="630"/>
      <c r="AO1" s="630"/>
      <c r="AP1" s="630"/>
      <c r="AQ1" s="630"/>
      <c r="AR1" s="630"/>
      <c r="AS1" s="630"/>
      <c r="AT1" s="630"/>
      <c r="AU1" s="630"/>
      <c r="AV1" s="630"/>
      <c r="AW1" s="630"/>
      <c r="AX1" s="630"/>
      <c r="AY1" s="630"/>
      <c r="AZ1" s="630"/>
      <c r="BA1" s="630"/>
      <c r="BB1" s="630"/>
      <c r="BC1" s="630"/>
      <c r="BI1" s="631" t="s">
        <v>95</v>
      </c>
      <c r="BJ1" s="632"/>
      <c r="BK1" s="632"/>
      <c r="BL1" s="632"/>
      <c r="BM1" s="632"/>
      <c r="BN1" s="632"/>
      <c r="BO1" s="632"/>
      <c r="BP1" s="632"/>
      <c r="BQ1" s="632"/>
    </row>
    <row r="2" spans="2:77" ht="22.5" customHeight="1" thickBot="1">
      <c r="B2" s="633" t="s">
        <v>56</v>
      </c>
      <c r="C2" s="634">
        <f>'1.ต้นทุนถนน AC.'!G152</f>
        <v>23.5</v>
      </c>
      <c r="D2" s="635" t="s">
        <v>57</v>
      </c>
      <c r="E2" s="636">
        <f>'1.ต้นทุนถนน AC.'!G152</f>
        <v>23.5</v>
      </c>
      <c r="F2" s="635" t="s">
        <v>57</v>
      </c>
      <c r="G2" s="637"/>
      <c r="H2" s="2785" t="s">
        <v>1</v>
      </c>
      <c r="I2" s="1342" t="s">
        <v>23</v>
      </c>
      <c r="J2" s="2789">
        <v>20.5</v>
      </c>
      <c r="K2" s="2790"/>
      <c r="L2" s="2789">
        <f>+J2+1</f>
        <v>21.5</v>
      </c>
      <c r="M2" s="2790"/>
      <c r="N2" s="2789">
        <f>+L2+1</f>
        <v>22.5</v>
      </c>
      <c r="O2" s="2790"/>
      <c r="P2" s="2789">
        <f>+N2+1</f>
        <v>23.5</v>
      </c>
      <c r="Q2" s="2790"/>
      <c r="R2" s="2789">
        <f>+P2+1</f>
        <v>24.5</v>
      </c>
      <c r="S2" s="2790"/>
      <c r="T2" s="2789">
        <f>+R2+1</f>
        <v>25.5</v>
      </c>
      <c r="U2" s="2790"/>
      <c r="V2" s="2789">
        <f>+T2+1</f>
        <v>26.5</v>
      </c>
      <c r="W2" s="2790"/>
      <c r="X2" s="2789">
        <f>+V2+1</f>
        <v>27.5</v>
      </c>
      <c r="Y2" s="2790"/>
      <c r="Z2" s="2789">
        <f>+X2+1</f>
        <v>28.5</v>
      </c>
      <c r="AA2" s="2790"/>
      <c r="AB2" s="2789">
        <f>+Z2+1</f>
        <v>29.5</v>
      </c>
      <c r="AC2" s="2790"/>
      <c r="AD2" s="2789">
        <f>+AB2+1</f>
        <v>30.5</v>
      </c>
      <c r="AE2" s="2790"/>
      <c r="AF2" s="2789">
        <f>+AD2+1</f>
        <v>31.5</v>
      </c>
      <c r="AG2" s="2790"/>
      <c r="AH2" s="2789">
        <f>+AF2+1</f>
        <v>32.5</v>
      </c>
      <c r="AI2" s="2790"/>
      <c r="AJ2" s="2789">
        <f>+AH2+1</f>
        <v>33.5</v>
      </c>
      <c r="AK2" s="2790"/>
      <c r="AL2" s="2789">
        <f>+AJ2+1</f>
        <v>34.5</v>
      </c>
      <c r="AM2" s="2790"/>
      <c r="AN2" s="2789">
        <f>+AL2+1</f>
        <v>35.5</v>
      </c>
      <c r="AO2" s="2790"/>
      <c r="AP2" s="2789">
        <f>+AN2+1</f>
        <v>36.5</v>
      </c>
      <c r="AQ2" s="2790"/>
      <c r="AR2" s="2789">
        <f>+AP2+1</f>
        <v>37.5</v>
      </c>
      <c r="AS2" s="2790"/>
      <c r="AT2" s="2789">
        <f>+AR2+1</f>
        <v>38.5</v>
      </c>
      <c r="AU2" s="2790"/>
      <c r="AV2" s="2789">
        <f>+AT2+1</f>
        <v>39.5</v>
      </c>
      <c r="AW2" s="2790"/>
      <c r="AX2" s="2789">
        <f>+AV2+1</f>
        <v>40.5</v>
      </c>
      <c r="AY2" s="2790"/>
      <c r="AZ2" s="2789">
        <f>+AX2+1</f>
        <v>41.5</v>
      </c>
      <c r="BA2" s="2790"/>
      <c r="BB2" s="2789">
        <f>+AZ2+1</f>
        <v>42.5</v>
      </c>
      <c r="BC2" s="2790"/>
      <c r="BD2" s="1344" t="s">
        <v>70</v>
      </c>
      <c r="BE2" s="1345"/>
      <c r="BF2" s="2800" t="str">
        <f>IF(แหล่งวัสดุ!H4=0,BD3,IF(แหล่งวัสดุ!H4=1,BE3,IF(แหล่งวัสดุ!H4=2,BE3,)))</f>
        <v>ฝนตกชุก</v>
      </c>
      <c r="BI2" s="638"/>
      <c r="BJ2" s="639" t="s">
        <v>96</v>
      </c>
      <c r="BK2" s="639"/>
      <c r="BL2" s="639"/>
      <c r="BM2" s="639"/>
      <c r="BN2" s="639"/>
      <c r="BO2" s="640"/>
      <c r="BP2" s="640"/>
      <c r="BQ2" s="639"/>
    </row>
    <row r="3" spans="2:77">
      <c r="B3" s="1338" t="s">
        <v>4</v>
      </c>
      <c r="C3" s="1339" t="s">
        <v>55</v>
      </c>
      <c r="D3" s="1339" t="s">
        <v>55</v>
      </c>
      <c r="E3" s="1339" t="s">
        <v>55</v>
      </c>
      <c r="F3" s="1339" t="s">
        <v>55</v>
      </c>
      <c r="G3" s="637"/>
      <c r="H3" s="2786"/>
      <c r="I3" s="1343"/>
      <c r="J3" s="1335" t="s">
        <v>71</v>
      </c>
      <c r="K3" s="1336" t="s">
        <v>68</v>
      </c>
      <c r="L3" s="1335" t="s">
        <v>71</v>
      </c>
      <c r="M3" s="1336" t="s">
        <v>68</v>
      </c>
      <c r="N3" s="1335" t="s">
        <v>71</v>
      </c>
      <c r="O3" s="1336" t="s">
        <v>68</v>
      </c>
      <c r="P3" s="1335" t="s">
        <v>71</v>
      </c>
      <c r="Q3" s="1336" t="s">
        <v>68</v>
      </c>
      <c r="R3" s="1335" t="s">
        <v>71</v>
      </c>
      <c r="S3" s="1336" t="s">
        <v>68</v>
      </c>
      <c r="T3" s="1335" t="s">
        <v>71</v>
      </c>
      <c r="U3" s="1336" t="s">
        <v>68</v>
      </c>
      <c r="V3" s="1335" t="s">
        <v>71</v>
      </c>
      <c r="W3" s="1336" t="s">
        <v>68</v>
      </c>
      <c r="X3" s="1335" t="s">
        <v>71</v>
      </c>
      <c r="Y3" s="1336" t="s">
        <v>68</v>
      </c>
      <c r="Z3" s="1335" t="s">
        <v>71</v>
      </c>
      <c r="AA3" s="1336" t="s">
        <v>68</v>
      </c>
      <c r="AB3" s="1335" t="s">
        <v>71</v>
      </c>
      <c r="AC3" s="1336" t="s">
        <v>68</v>
      </c>
      <c r="AD3" s="1335" t="s">
        <v>71</v>
      </c>
      <c r="AE3" s="1336" t="s">
        <v>68</v>
      </c>
      <c r="AF3" s="1335" t="s">
        <v>71</v>
      </c>
      <c r="AG3" s="1336" t="s">
        <v>68</v>
      </c>
      <c r="AH3" s="1335" t="s">
        <v>71</v>
      </c>
      <c r="AI3" s="1336" t="s">
        <v>68</v>
      </c>
      <c r="AJ3" s="1335" t="s">
        <v>71</v>
      </c>
      <c r="AK3" s="1336" t="s">
        <v>68</v>
      </c>
      <c r="AL3" s="1335" t="s">
        <v>71</v>
      </c>
      <c r="AM3" s="1336" t="s">
        <v>68</v>
      </c>
      <c r="AN3" s="1335" t="s">
        <v>71</v>
      </c>
      <c r="AO3" s="1336" t="s">
        <v>68</v>
      </c>
      <c r="AP3" s="1335" t="s">
        <v>71</v>
      </c>
      <c r="AQ3" s="1336" t="s">
        <v>68</v>
      </c>
      <c r="AR3" s="1335" t="s">
        <v>71</v>
      </c>
      <c r="AS3" s="1336" t="s">
        <v>68</v>
      </c>
      <c r="AT3" s="1335" t="s">
        <v>71</v>
      </c>
      <c r="AU3" s="1336" t="s">
        <v>68</v>
      </c>
      <c r="AV3" s="1335" t="s">
        <v>71</v>
      </c>
      <c r="AW3" s="1336" t="s">
        <v>68</v>
      </c>
      <c r="AX3" s="1335" t="s">
        <v>71</v>
      </c>
      <c r="AY3" s="1336" t="s">
        <v>68</v>
      </c>
      <c r="AZ3" s="1335" t="s">
        <v>71</v>
      </c>
      <c r="BA3" s="1336" t="s">
        <v>68</v>
      </c>
      <c r="BB3" s="1335" t="s">
        <v>71</v>
      </c>
      <c r="BC3" s="1336" t="s">
        <v>68</v>
      </c>
      <c r="BD3" s="1335" t="s">
        <v>71</v>
      </c>
      <c r="BE3" s="1336" t="s">
        <v>68</v>
      </c>
      <c r="BF3" s="2801"/>
      <c r="BI3" s="638"/>
      <c r="BJ3" s="639" t="s">
        <v>59</v>
      </c>
      <c r="BK3" s="639"/>
      <c r="BL3" s="639"/>
      <c r="BM3" s="639">
        <f>แหล่งวัสดุ!L25</f>
        <v>7</v>
      </c>
      <c r="BN3" s="639" t="s">
        <v>60</v>
      </c>
      <c r="BO3" s="639"/>
      <c r="BP3" s="639"/>
      <c r="BQ3" s="639"/>
    </row>
    <row r="4" spans="2:77" ht="21.75" thickBot="1">
      <c r="B4" s="1340" t="s">
        <v>40</v>
      </c>
      <c r="C4" s="1341" t="s">
        <v>8</v>
      </c>
      <c r="D4" s="1341" t="s">
        <v>3</v>
      </c>
      <c r="E4" s="1341" t="s">
        <v>8</v>
      </c>
      <c r="F4" s="1341" t="s">
        <v>3</v>
      </c>
      <c r="G4" s="641"/>
      <c r="H4" s="642" t="s">
        <v>72</v>
      </c>
      <c r="I4" s="643"/>
      <c r="J4" s="1999"/>
      <c r="K4" s="1999"/>
      <c r="L4" s="1999"/>
      <c r="M4" s="1999"/>
      <c r="N4" s="1999"/>
      <c r="O4" s="1999"/>
      <c r="P4" s="1999"/>
      <c r="Q4" s="1999"/>
      <c r="R4" s="1999"/>
      <c r="S4" s="1999"/>
      <c r="T4" s="1999"/>
      <c r="U4" s="1999"/>
      <c r="V4" s="1999"/>
      <c r="W4" s="1999"/>
      <c r="X4" s="1999"/>
      <c r="Y4" s="1999"/>
      <c r="Z4" s="1999"/>
      <c r="AA4" s="1999"/>
      <c r="AB4" s="1999"/>
      <c r="AC4" s="1999"/>
      <c r="AD4" s="1999"/>
      <c r="AE4" s="1999"/>
      <c r="AF4" s="1999"/>
      <c r="AG4" s="1999"/>
      <c r="AH4" s="644"/>
      <c r="AI4" s="644"/>
      <c r="AJ4" s="644"/>
      <c r="AK4" s="644"/>
      <c r="AL4" s="644"/>
      <c r="AM4" s="644"/>
      <c r="AN4" s="644"/>
      <c r="AO4" s="644"/>
      <c r="AP4" s="644"/>
      <c r="AQ4" s="644"/>
      <c r="AR4" s="644"/>
      <c r="AS4" s="644"/>
      <c r="AT4" s="644"/>
      <c r="AU4" s="644"/>
      <c r="AV4" s="644"/>
      <c r="AW4" s="644"/>
      <c r="AX4" s="644"/>
      <c r="AY4" s="644"/>
      <c r="AZ4" s="644"/>
      <c r="BA4" s="644"/>
      <c r="BB4" s="644"/>
      <c r="BC4" s="644"/>
      <c r="BD4" s="645"/>
      <c r="BE4" s="645"/>
      <c r="BF4" s="645"/>
      <c r="BI4" s="638"/>
      <c r="BJ4" s="639" t="s">
        <v>62</v>
      </c>
      <c r="BK4" s="639"/>
      <c r="BL4" s="639"/>
      <c r="BM4" s="639">
        <f>แหล่งวัสดุ!L26</f>
        <v>15</v>
      </c>
      <c r="BN4" s="639" t="s">
        <v>60</v>
      </c>
      <c r="BO4" s="639"/>
      <c r="BP4" s="639"/>
      <c r="BQ4" s="639"/>
    </row>
    <row r="5" spans="2:77">
      <c r="B5" s="646">
        <v>1</v>
      </c>
      <c r="C5" s="647">
        <f>IF($C$2=20.5,'S3'!A5,IF($C$2=21.5,'S3'!B5,IF($C$2=22.5,'S3'!C5,IF($C$2=23.5,'S3'!D5,IF($C$2=24.5,'S3'!E5,IF($C$2=25.5,'S3'!F5,IF($C$2=26.5,'S3'!G5,IF($C$2=27.5,'S3'!H5,IF($C$2=28.5,'S3'!I5,IF($C$2=29.5,'S3'!J5,IF($C$2=30.5,'S3'!K5,IF($C$2=31.5,'S3'!L5))))))))))))</f>
        <v>7.89</v>
      </c>
      <c r="D5" s="647">
        <f>ROUND(C5*1.4,2)</f>
        <v>11.05</v>
      </c>
      <c r="E5" s="968">
        <f>IF($E$2=20.5,'S3'!Y5,IF($E$2=21.5,'S3'!Z5,IF($E$2=22.5,'S3'!AA5,IF($E$2=23.5,'S3'!AB5,IF($E$2=24.5,'S3'!AC5,IF($E$2=25.5,'S3'!AD5,IF($E$2=26.5,'S3'!AE5,IF($E$2=27.5,'S3'!AF5,IF($E$2=28.5,'S3'!AG5,IF($E$2=29.5,'S3'!AH5,IF($E$2=30.5,'S3'!AI5,IF($E$2=31.5,'S3'!AJ5))))))))))))</f>
        <v>4.32</v>
      </c>
      <c r="F5" s="647">
        <f>ROUND(E5*1.4,2)</f>
        <v>6.05</v>
      </c>
      <c r="H5" s="643" t="s">
        <v>73</v>
      </c>
      <c r="I5" s="648" t="s">
        <v>74</v>
      </c>
      <c r="J5" s="2000"/>
      <c r="K5" s="1996"/>
      <c r="L5" s="2000"/>
      <c r="M5" s="1996"/>
      <c r="N5" s="2000">
        <v>29.64</v>
      </c>
      <c r="O5" s="1996">
        <v>31.27</v>
      </c>
      <c r="P5" s="1996">
        <v>29.95</v>
      </c>
      <c r="Q5" s="1996">
        <v>31.58</v>
      </c>
      <c r="R5" s="2000">
        <v>30.25</v>
      </c>
      <c r="S5" s="1996">
        <v>31.88</v>
      </c>
      <c r="T5" s="2000">
        <v>30.56</v>
      </c>
      <c r="U5" s="1996">
        <v>32.19</v>
      </c>
      <c r="V5" s="2000"/>
      <c r="W5" s="1996"/>
      <c r="X5" s="2000"/>
      <c r="Y5" s="1996"/>
      <c r="Z5" s="1996"/>
      <c r="AA5" s="1996"/>
      <c r="AB5" s="2000"/>
      <c r="AC5" s="1996"/>
      <c r="AD5" s="1996"/>
      <c r="AE5" s="1996"/>
      <c r="AF5" s="1996"/>
      <c r="AG5" s="1996">
        <v>33.549999999999997</v>
      </c>
      <c r="AH5" s="649"/>
      <c r="AI5" s="649"/>
      <c r="AJ5" s="649"/>
      <c r="AK5" s="649"/>
      <c r="AL5" s="649"/>
      <c r="AM5" s="649"/>
      <c r="AN5" s="649"/>
      <c r="AO5" s="649"/>
      <c r="AP5" s="649"/>
      <c r="AQ5" s="649"/>
      <c r="AR5" s="649"/>
      <c r="AS5" s="649"/>
      <c r="AT5" s="649"/>
      <c r="AU5" s="649"/>
      <c r="AV5" s="649"/>
      <c r="AW5" s="649"/>
      <c r="AX5" s="649"/>
      <c r="AY5" s="649"/>
      <c r="AZ5" s="649"/>
      <c r="BA5" s="649"/>
      <c r="BB5" s="649"/>
      <c r="BC5" s="649"/>
      <c r="BD5" s="650">
        <f>IF($C$2=20.5,J5,IF($C$2=21.5,L5,IF($C$2=22.5,N5,IF($C$2=23.5,P5,IF($C$2=24.5,R5,IF($C$2=25.5,T5,IF($C$2=26.5,V5,IF($C$2=27.5,X5,IF($C$2=28.5,Z5,IF($C$2=29.5,AB5,IF($C$2=30.5,AD5,IF($C$2=31.5,AF5,IF($C$2=32.5,AH5)))))))))))))</f>
        <v>29.95</v>
      </c>
      <c r="BE5" s="650">
        <f>IF($C$2=20.5,K5,IF($C$2=21.5,M5,IF($C$2=22.5,O5,IF($C$2=23.5,Q5,IF($C$2=24.5,S5,IF($C$2=25.5,U5,IF($C$2=26.5,W5,IF($C$2=27.5,Y5,IF($C$2=28.5,AA5,IF($C$2=29.5,AC5,IF($C$2=30.5,AE5,IF($C$2=31.5,AG5,IF($C$2=32.5,AI5)))))))))))))</f>
        <v>31.58</v>
      </c>
      <c r="BF5" s="651">
        <f>IF(แหล่งวัสดุ!$H$4=0,BD5,IF(แหล่งวัสดุ!$H$4=1,BE5,IF(แหล่งวัสดุ!$H$4=2,BE5,)))</f>
        <v>31.58</v>
      </c>
      <c r="BI5" s="638"/>
      <c r="BJ5" s="639" t="s">
        <v>64</v>
      </c>
      <c r="BK5" s="639"/>
      <c r="BL5" s="639"/>
      <c r="BM5" s="639">
        <f>แหล่งวัสดุ!L27</f>
        <v>4</v>
      </c>
      <c r="BN5" s="639" t="s">
        <v>60</v>
      </c>
      <c r="BO5" s="639"/>
      <c r="BP5" s="639"/>
      <c r="BQ5" s="639"/>
    </row>
    <row r="6" spans="2:77">
      <c r="B6" s="646">
        <v>2</v>
      </c>
      <c r="C6" s="652">
        <f>IF($C$2=20.5,'S3'!A6,IF($C$2=21.5,'S3'!B6,IF($C$2=22.5,'S3'!C6,IF($C$2=23.5,'S3'!D6,IF($C$2=24.5,'S3'!E6,IF($C$2=25.5,'S3'!F6,IF($C$2=26.5,'S3'!G6,IF($C$2=27.5,'S3'!H6,IF($C$2=28.5,'S3'!I6,IF($C$2=29.5,'S3'!J6,IF($C$2=30.5,'S3'!K6,IF($C$2=31.5,'S3'!L6))))))))))))</f>
        <v>9.4600000000000009</v>
      </c>
      <c r="D6" s="652">
        <f>ROUND(C6*1.4,2)</f>
        <v>13.24</v>
      </c>
      <c r="E6" s="969">
        <f>IF($E$2=20.5,'S3'!Y6,IF($E$2=21.5,'S3'!Z6,IF($E$2=22.5,'S3'!AA6,IF($E$2=23.5,'S3'!AB6,IF($E$2=24.5,'S3'!AC6,IF($E$2=25.5,'S3'!AD6,IF($E$2=26.5,'S3'!AE6,IF($E$2=27.5,'S3'!AF6,IF($E$2=28.5,'S3'!AG6,IF($E$2=29.5,'S3'!AH6,IF($E$2=30.5,'S3'!AI6,IF($E$2=31.5,'S3'!AJ6))))))))))))</f>
        <v>5.53</v>
      </c>
      <c r="F6" s="652">
        <f t="shared" ref="F6:F69" si="0">ROUND(E6*1.4,2)</f>
        <v>7.74</v>
      </c>
      <c r="H6" s="643" t="s">
        <v>75</v>
      </c>
      <c r="I6" s="648" t="s">
        <v>76</v>
      </c>
      <c r="J6" s="2000"/>
      <c r="K6" s="1996"/>
      <c r="L6" s="2000"/>
      <c r="M6" s="1996"/>
      <c r="N6" s="2000">
        <v>9.09</v>
      </c>
      <c r="O6" s="1996">
        <v>9.4600000000000009</v>
      </c>
      <c r="P6" s="1996">
        <v>9.18</v>
      </c>
      <c r="Q6" s="1996">
        <v>9.5500000000000007</v>
      </c>
      <c r="R6" s="2000">
        <v>9.26</v>
      </c>
      <c r="S6" s="1996">
        <v>9.6300000000000008</v>
      </c>
      <c r="T6" s="2000">
        <v>9.34</v>
      </c>
      <c r="U6" s="1996">
        <v>9.7100000000000009</v>
      </c>
      <c r="V6" s="2000"/>
      <c r="W6" s="1996"/>
      <c r="X6" s="2000"/>
      <c r="Y6" s="1996"/>
      <c r="Z6" s="1996"/>
      <c r="AA6" s="1996"/>
      <c r="AB6" s="2000"/>
      <c r="AC6" s="1996"/>
      <c r="AD6" s="1996"/>
      <c r="AE6" s="1996"/>
      <c r="AF6" s="1996"/>
      <c r="AG6" s="1996">
        <v>8.25</v>
      </c>
      <c r="AH6" s="649"/>
      <c r="AI6" s="649"/>
      <c r="AJ6" s="649"/>
      <c r="AK6" s="649"/>
      <c r="AL6" s="649"/>
      <c r="AM6" s="649"/>
      <c r="AN6" s="649"/>
      <c r="AO6" s="649"/>
      <c r="AP6" s="649"/>
      <c r="AQ6" s="649"/>
      <c r="AR6" s="649"/>
      <c r="AS6" s="649"/>
      <c r="AT6" s="649"/>
      <c r="AU6" s="649"/>
      <c r="AV6" s="649"/>
      <c r="AW6" s="649"/>
      <c r="AX6" s="649"/>
      <c r="AY6" s="649"/>
      <c r="AZ6" s="649"/>
      <c r="BA6" s="649"/>
      <c r="BB6" s="649"/>
      <c r="BC6" s="649"/>
      <c r="BD6" s="650">
        <f t="shared" ref="BD6:BD44" si="1">IF($C$2=20.5,J6,IF($C$2=21.5,L6,IF($C$2=22.5,N6,IF($C$2=23.5,P6,IF($C$2=24.5,R6,IF($C$2=25.5,T6,IF($C$2=26.5,V6,IF($C$2=27.5,X6,IF($C$2=28.5,Z6,IF($C$2=29.5,AB6,IF($C$2=30.5,AD6,IF($C$2=31.5,AF6,IF($C$2=32.5,AH6)))))))))))))</f>
        <v>9.18</v>
      </c>
      <c r="BE6" s="650">
        <f t="shared" ref="BE6:BE44" si="2">IF($C$2=20.5,K6,IF($C$2=21.5,M6,IF($C$2=22.5,O6,IF($C$2=23.5,Q6,IF($C$2=24.5,S6,IF($C$2=25.5,U6,IF($C$2=26.5,W6,IF($C$2=27.5,Y6,IF($C$2=28.5,AA6,IF($C$2=29.5,AC6,IF($C$2=30.5,AE6,IF($C$2=31.5,AG6,IF($C$2=32.5,AI6)))))))))))))</f>
        <v>9.5500000000000007</v>
      </c>
      <c r="BF6" s="651">
        <f>IF(แหล่งวัสดุ!$H$4=0,BD6,IF(แหล่งวัสดุ!$H$4=1,BE6,IF(แหล่งวัสดุ!$H$4=2,BE6,)))</f>
        <v>9.5500000000000007</v>
      </c>
      <c r="BI6" s="638"/>
      <c r="BJ6" s="639" t="s">
        <v>65</v>
      </c>
      <c r="BK6" s="639"/>
      <c r="BL6" s="639"/>
      <c r="BM6" s="639">
        <f>แหล่งวัสดุ!L28</f>
        <v>0</v>
      </c>
      <c r="BN6" s="639" t="s">
        <v>60</v>
      </c>
      <c r="BO6" s="639"/>
      <c r="BP6" s="639"/>
      <c r="BQ6" s="639"/>
    </row>
    <row r="7" spans="2:77" ht="22.5" thickBot="1">
      <c r="B7" s="646">
        <v>3</v>
      </c>
      <c r="C7" s="652">
        <f>IF($C$2=20.5,'S3'!A7,IF($C$2=21.5,'S3'!B7,IF($C$2=22.5,'S3'!C7,IF($C$2=23.5,'S3'!D7,IF($C$2=24.5,'S3'!E7,IF($C$2=25.5,'S3'!F7,IF($C$2=26.5,'S3'!G7,IF($C$2=27.5,'S3'!H7,IF($C$2=28.5,'S3'!I7,IF($C$2=29.5,'S3'!J7,IF($C$2=30.5,'S3'!K7,IF($C$2=31.5,'S3'!L7))))))))))))</f>
        <v>11.04</v>
      </c>
      <c r="D7" s="652">
        <f t="shared" ref="D7:D70" si="3">ROUND(C7*1.4,2)</f>
        <v>15.46</v>
      </c>
      <c r="E7" s="969">
        <f>IF($E$2=20.5,'S3'!Y7,IF($E$2=21.5,'S3'!Z7,IF($E$2=22.5,'S3'!AA7,IF($E$2=23.5,'S3'!AB7,IF($E$2=24.5,'S3'!AC7,IF($E$2=25.5,'S3'!AD7,IF($E$2=26.5,'S3'!AE7,IF($E$2=27.5,'S3'!AF7,IF($E$2=28.5,'S3'!AG7,IF($E$2=29.5,'S3'!AH7,IF($E$2=30.5,'S3'!AI7,IF($E$2=31.5,'S3'!AJ7))))))))))))</f>
        <v>6.73</v>
      </c>
      <c r="F7" s="652">
        <f t="shared" si="0"/>
        <v>9.42</v>
      </c>
      <c r="H7" s="653" t="s">
        <v>77</v>
      </c>
      <c r="I7" s="648" t="s">
        <v>76</v>
      </c>
      <c r="J7" s="2000"/>
      <c r="K7" s="1996"/>
      <c r="L7" s="2000"/>
      <c r="M7" s="1996"/>
      <c r="N7" s="2000">
        <v>50.8</v>
      </c>
      <c r="O7" s="1996">
        <v>54.04</v>
      </c>
      <c r="P7" s="1996">
        <v>51.34</v>
      </c>
      <c r="Q7" s="1996">
        <v>54.58</v>
      </c>
      <c r="R7" s="2000">
        <v>51.88</v>
      </c>
      <c r="S7" s="1996">
        <v>55.52</v>
      </c>
      <c r="T7" s="2000">
        <v>52.42</v>
      </c>
      <c r="U7" s="1996">
        <v>55.66</v>
      </c>
      <c r="V7" s="2000"/>
      <c r="W7" s="1996"/>
      <c r="X7" s="2000"/>
      <c r="Y7" s="1996"/>
      <c r="Z7" s="1996"/>
      <c r="AA7" s="1996"/>
      <c r="AB7" s="2000"/>
      <c r="AC7" s="1996"/>
      <c r="AD7" s="1996"/>
      <c r="AE7" s="1996"/>
      <c r="AF7" s="1996"/>
      <c r="AG7" s="1996">
        <v>49.73</v>
      </c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649"/>
      <c r="BD7" s="650">
        <f t="shared" si="1"/>
        <v>51.34</v>
      </c>
      <c r="BE7" s="650">
        <f t="shared" si="2"/>
        <v>54.58</v>
      </c>
      <c r="BF7" s="651">
        <f>IF(แหล่งวัสดุ!$H$4=0,BD7,IF(แหล่งวัสดุ!$H$4=1,BE7,IF(แหล่งวัสดุ!$H$4=2,BE7,)))</f>
        <v>54.58</v>
      </c>
      <c r="BI7" s="638"/>
      <c r="BJ7" s="654" t="s">
        <v>97</v>
      </c>
      <c r="BK7" s="171"/>
      <c r="BL7" s="654"/>
      <c r="BM7" s="624">
        <v>3</v>
      </c>
      <c r="BN7" s="654" t="s">
        <v>98</v>
      </c>
      <c r="BO7" s="639"/>
      <c r="BP7" s="639"/>
      <c r="BQ7" s="639"/>
    </row>
    <row r="8" spans="2:77">
      <c r="B8" s="646">
        <v>4</v>
      </c>
      <c r="C8" s="652">
        <f>IF($C$2=20.5,'S3'!A8,IF($C$2=21.5,'S3'!B8,IF($C$2=22.5,'S3'!C8,IF($C$2=23.5,'S3'!D8,IF($C$2=24.5,'S3'!E8,IF($C$2=25.5,'S3'!F8,IF($C$2=26.5,'S3'!G8,IF($C$2=27.5,'S3'!H8,IF($C$2=28.5,'S3'!I8,IF($C$2=29.5,'S3'!J8,IF($C$2=30.5,'S3'!K8,IF($C$2=31.5,'S3'!L8))))))))))))</f>
        <v>12.62</v>
      </c>
      <c r="D8" s="652">
        <f t="shared" si="3"/>
        <v>17.670000000000002</v>
      </c>
      <c r="E8" s="969">
        <f>IF($E$2=20.5,'S3'!Y8,IF($E$2=21.5,'S3'!Z8,IF($E$2=22.5,'S3'!AA8,IF($E$2=23.5,'S3'!AB8,IF($E$2=24.5,'S3'!AC8,IF($E$2=25.5,'S3'!AD8,IF($E$2=26.5,'S3'!AE8,IF($E$2=27.5,'S3'!AF8,IF($E$2=28.5,'S3'!AG8,IF($E$2=29.5,'S3'!AH8,IF($E$2=30.5,'S3'!AI8,IF($E$2=31.5,'S3'!AJ8))))))))))))</f>
        <v>7.94</v>
      </c>
      <c r="F8" s="652">
        <f t="shared" si="0"/>
        <v>11.12</v>
      </c>
      <c r="H8" s="655" t="s">
        <v>78</v>
      </c>
      <c r="I8" s="656"/>
      <c r="J8" s="2001"/>
      <c r="K8" s="2001"/>
      <c r="L8" s="2001"/>
      <c r="M8" s="2001"/>
      <c r="N8" s="2001"/>
      <c r="O8" s="2001"/>
      <c r="P8" s="2001"/>
      <c r="Q8" s="2001"/>
      <c r="R8" s="2001"/>
      <c r="S8" s="2001"/>
      <c r="T8" s="2001"/>
      <c r="U8" s="2001"/>
      <c r="V8" s="2001"/>
      <c r="W8" s="2001"/>
      <c r="X8" s="2001"/>
      <c r="Y8" s="2001"/>
      <c r="Z8" s="2001"/>
      <c r="AA8" s="2001"/>
      <c r="AB8" s="2001"/>
      <c r="AC8" s="2001"/>
      <c r="AD8" s="2001"/>
      <c r="AE8" s="2001"/>
      <c r="AF8" s="2001"/>
      <c r="AG8" s="2001"/>
      <c r="AH8" s="657"/>
      <c r="AI8" s="657"/>
      <c r="AJ8" s="657"/>
      <c r="AK8" s="657"/>
      <c r="AL8" s="657"/>
      <c r="AM8" s="657"/>
      <c r="AN8" s="657"/>
      <c r="AO8" s="657"/>
      <c r="AP8" s="657"/>
      <c r="AQ8" s="657"/>
      <c r="AR8" s="657"/>
      <c r="AS8" s="657"/>
      <c r="AT8" s="657"/>
      <c r="AU8" s="657"/>
      <c r="AV8" s="657"/>
      <c r="AW8" s="657"/>
      <c r="AX8" s="657"/>
      <c r="AY8" s="657"/>
      <c r="AZ8" s="657"/>
      <c r="BA8" s="657"/>
      <c r="BB8" s="657"/>
      <c r="BC8" s="657"/>
      <c r="BD8" s="650"/>
      <c r="BE8" s="650"/>
      <c r="BF8" s="658"/>
      <c r="BI8" s="1346" t="s">
        <v>99</v>
      </c>
      <c r="BJ8" s="1347" t="s">
        <v>99</v>
      </c>
      <c r="BK8" s="1348" t="s">
        <v>99</v>
      </c>
      <c r="BL8" s="1346" t="s">
        <v>100</v>
      </c>
      <c r="BM8" s="1349" t="s">
        <v>101</v>
      </c>
      <c r="BN8" s="1349" t="s">
        <v>102</v>
      </c>
      <c r="BO8" s="1349" t="s">
        <v>103</v>
      </c>
      <c r="BP8" s="1349" t="s">
        <v>104</v>
      </c>
      <c r="BQ8" s="1349" t="s">
        <v>105</v>
      </c>
      <c r="BR8" s="1349" t="s">
        <v>106</v>
      </c>
      <c r="BS8" s="1347" t="s">
        <v>2</v>
      </c>
      <c r="BT8" s="1347" t="s">
        <v>141</v>
      </c>
      <c r="BU8" s="1350" t="s">
        <v>142</v>
      </c>
      <c r="BW8" s="659" t="s">
        <v>93</v>
      </c>
      <c r="BX8" s="660" t="s">
        <v>94</v>
      </c>
      <c r="BY8" s="661" t="s">
        <v>93</v>
      </c>
    </row>
    <row r="9" spans="2:77" ht="21.75" thickBot="1">
      <c r="B9" s="646">
        <v>5</v>
      </c>
      <c r="C9" s="652">
        <f>IF($C$2=20.5,'S3'!A9,IF($C$2=21.5,'S3'!B9,IF($C$2=22.5,'S3'!C9,IF($C$2=23.5,'S3'!D9,IF($C$2=24.5,'S3'!E9,IF($C$2=25.5,'S3'!F9,IF($C$2=26.5,'S3'!G9,IF($C$2=27.5,'S3'!H9,IF($C$2=28.5,'S3'!I9,IF($C$2=29.5,'S3'!J9,IF($C$2=30.5,'S3'!K9,IF($C$2=31.5,'S3'!L9))))))))))))</f>
        <v>14.2</v>
      </c>
      <c r="D9" s="652">
        <f t="shared" si="3"/>
        <v>19.88</v>
      </c>
      <c r="E9" s="969">
        <f>IF($E$2=20.5,'S3'!Y9,IF($E$2=21.5,'S3'!Z9,IF($E$2=22.5,'S3'!AA9,IF($E$2=23.5,'S3'!AB9,IF($E$2=24.5,'S3'!AC9,IF($E$2=25.5,'S3'!AD9,IF($E$2=26.5,'S3'!AE9,IF($E$2=27.5,'S3'!AF9,IF($E$2=28.5,'S3'!AG9,IF($E$2=29.5,'S3'!AH9,IF($E$2=30.5,'S3'!AI9,IF($E$2=31.5,'S3'!AJ9))))))))))))</f>
        <v>9.14</v>
      </c>
      <c r="F9" s="652">
        <f t="shared" si="0"/>
        <v>12.8</v>
      </c>
      <c r="H9" s="653" t="s">
        <v>79</v>
      </c>
      <c r="I9" s="648" t="s">
        <v>76</v>
      </c>
      <c r="J9" s="2000"/>
      <c r="K9" s="1996"/>
      <c r="L9" s="2000"/>
      <c r="M9" s="1996"/>
      <c r="N9" s="2000">
        <v>23.57</v>
      </c>
      <c r="O9" s="1996">
        <v>24.62</v>
      </c>
      <c r="P9" s="1996">
        <v>23.71</v>
      </c>
      <c r="Q9" s="1996">
        <v>24.76</v>
      </c>
      <c r="R9" s="2000">
        <v>23.85</v>
      </c>
      <c r="S9" s="1996">
        <v>24.9</v>
      </c>
      <c r="T9" s="2000">
        <v>24</v>
      </c>
      <c r="U9" s="1996">
        <v>25.05</v>
      </c>
      <c r="V9" s="2000"/>
      <c r="W9" s="1996"/>
      <c r="X9" s="2000"/>
      <c r="Y9" s="1996"/>
      <c r="Z9" s="1996"/>
      <c r="AA9" s="1996"/>
      <c r="AB9" s="2000"/>
      <c r="AC9" s="1996"/>
      <c r="AD9" s="1996"/>
      <c r="AE9" s="1996"/>
      <c r="AF9" s="1996"/>
      <c r="AG9" s="1996">
        <v>21.89</v>
      </c>
      <c r="AH9" s="649"/>
      <c r="AI9" s="649"/>
      <c r="AJ9" s="649"/>
      <c r="AK9" s="649"/>
      <c r="AL9" s="649"/>
      <c r="AM9" s="649"/>
      <c r="AN9" s="649"/>
      <c r="AO9" s="649"/>
      <c r="AP9" s="649"/>
      <c r="AQ9" s="649"/>
      <c r="AR9" s="649"/>
      <c r="AS9" s="649"/>
      <c r="AT9" s="649"/>
      <c r="AU9" s="649"/>
      <c r="AV9" s="649"/>
      <c r="AW9" s="649"/>
      <c r="AX9" s="649"/>
      <c r="AY9" s="649"/>
      <c r="AZ9" s="649"/>
      <c r="BA9" s="649"/>
      <c r="BB9" s="649"/>
      <c r="BC9" s="649"/>
      <c r="BD9" s="650">
        <f t="shared" si="1"/>
        <v>23.71</v>
      </c>
      <c r="BE9" s="650">
        <f t="shared" si="2"/>
        <v>24.76</v>
      </c>
      <c r="BF9" s="651">
        <f>IF(แหล่งวัสดุ!$H$4=0,BD9,IF(แหล่งวัสดุ!$H$4=1,BE9,IF(แหล่งวัสดุ!$H$4=2,BE9,)))</f>
        <v>24.76</v>
      </c>
      <c r="BI9" s="1351" t="s">
        <v>71</v>
      </c>
      <c r="BJ9" s="1352" t="s">
        <v>133</v>
      </c>
      <c r="BK9" s="1353" t="s">
        <v>134</v>
      </c>
      <c r="BL9" s="1351" t="s">
        <v>107</v>
      </c>
      <c r="BM9" s="1354" t="s">
        <v>108</v>
      </c>
      <c r="BN9" s="1354" t="s">
        <v>109</v>
      </c>
      <c r="BO9" s="1354" t="s">
        <v>110</v>
      </c>
      <c r="BP9" s="1354"/>
      <c r="BQ9" s="1354" t="s">
        <v>111</v>
      </c>
      <c r="BR9" s="1354">
        <v>7</v>
      </c>
      <c r="BS9" s="1355" t="s">
        <v>112</v>
      </c>
      <c r="BT9" s="1356" t="s">
        <v>133</v>
      </c>
      <c r="BU9" s="1357" t="s">
        <v>135</v>
      </c>
      <c r="BW9" s="662">
        <f>'1.ต้นทุนถนน AC.'!$G$127</f>
        <v>4</v>
      </c>
      <c r="BX9" s="663">
        <v>30</v>
      </c>
      <c r="BY9" s="664">
        <v>0.8</v>
      </c>
    </row>
    <row r="10" spans="2:77">
      <c r="B10" s="646">
        <v>6</v>
      </c>
      <c r="C10" s="652">
        <f>IF($C$2=20.5,'S3'!A10,IF($C$2=21.5,'S3'!B10,IF($C$2=22.5,'S3'!C10,IF($C$2=23.5,'S3'!D10,IF($C$2=24.5,'S3'!E10,IF($C$2=25.5,'S3'!F10,IF($C$2=26.5,'S3'!G10,IF($C$2=27.5,'S3'!H10,IF($C$2=28.5,'S3'!I10,IF($C$2=29.5,'S3'!J10,IF($C$2=30.5,'S3'!K10,IF($C$2=31.5,'S3'!L10))))))))))))</f>
        <v>15.78</v>
      </c>
      <c r="D10" s="652">
        <f t="shared" si="3"/>
        <v>22.09</v>
      </c>
      <c r="E10" s="969">
        <f>IF($E$2=20.5,'S3'!Y10,IF($E$2=21.5,'S3'!Z10,IF($E$2=22.5,'S3'!AA10,IF($E$2=23.5,'S3'!AB10,IF($E$2=24.5,'S3'!AC10,IF($E$2=25.5,'S3'!AD10,IF($E$2=26.5,'S3'!AE10,IF($E$2=27.5,'S3'!AF10,IF($E$2=28.5,'S3'!AG10,IF($E$2=29.5,'S3'!AH10,IF($E$2=30.5,'S3'!AI10,IF($E$2=31.5,'S3'!AJ10))))))))))))</f>
        <v>10.35</v>
      </c>
      <c r="F10" s="652">
        <f t="shared" si="0"/>
        <v>14.49</v>
      </c>
      <c r="H10" s="653" t="s">
        <v>77</v>
      </c>
      <c r="I10" s="648" t="s">
        <v>76</v>
      </c>
      <c r="J10" s="2000"/>
      <c r="K10" s="1996"/>
      <c r="L10" s="2000"/>
      <c r="M10" s="1996"/>
      <c r="N10" s="2000">
        <v>81.11</v>
      </c>
      <c r="O10" s="1996">
        <v>87.54</v>
      </c>
      <c r="P10" s="1996">
        <v>81.88</v>
      </c>
      <c r="Q10" s="1996">
        <v>88.31</v>
      </c>
      <c r="R10" s="2000">
        <v>82.66</v>
      </c>
      <c r="S10" s="1996">
        <v>89.09</v>
      </c>
      <c r="T10" s="2000">
        <v>83.44</v>
      </c>
      <c r="U10" s="1996">
        <v>89.87</v>
      </c>
      <c r="V10" s="2000"/>
      <c r="W10" s="1996"/>
      <c r="X10" s="2000"/>
      <c r="Y10" s="1996"/>
      <c r="Z10" s="1996"/>
      <c r="AA10" s="1996"/>
      <c r="AB10" s="2000"/>
      <c r="AC10" s="1996"/>
      <c r="AD10" s="1996"/>
      <c r="AE10" s="1996"/>
      <c r="AF10" s="1996"/>
      <c r="AG10" s="1996">
        <v>79.569999999999993</v>
      </c>
      <c r="AH10" s="649"/>
      <c r="AI10" s="649"/>
      <c r="AJ10" s="649"/>
      <c r="AK10" s="649"/>
      <c r="AL10" s="649"/>
      <c r="AM10" s="649"/>
      <c r="AN10" s="649"/>
      <c r="AO10" s="649"/>
      <c r="AP10" s="649"/>
      <c r="AQ10" s="649"/>
      <c r="AR10" s="649"/>
      <c r="AS10" s="649"/>
      <c r="AT10" s="649"/>
      <c r="AU10" s="649"/>
      <c r="AV10" s="649"/>
      <c r="AW10" s="649"/>
      <c r="AX10" s="649"/>
      <c r="AY10" s="649"/>
      <c r="AZ10" s="649"/>
      <c r="BA10" s="649"/>
      <c r="BB10" s="649"/>
      <c r="BC10" s="649"/>
      <c r="BD10" s="650">
        <f t="shared" si="1"/>
        <v>81.88</v>
      </c>
      <c r="BE10" s="650">
        <f t="shared" si="2"/>
        <v>88.31</v>
      </c>
      <c r="BF10" s="651">
        <f>IF(แหล่งวัสดุ!$H$4=0,BD10,IF(แหล่งวัสดุ!$H$4=1,BE10,IF(แหล่งวัสดุ!$H$4=2,BE10,)))</f>
        <v>88.31</v>
      </c>
      <c r="BI10" s="665">
        <f>+'NO DELETE'!T16</f>
        <v>5600140.1900000004</v>
      </c>
      <c r="BJ10" s="663"/>
      <c r="BK10" s="666"/>
      <c r="BL10" s="665">
        <v>5</v>
      </c>
      <c r="BM10" s="667">
        <v>6</v>
      </c>
      <c r="BN10" s="668">
        <v>18.2361</v>
      </c>
      <c r="BO10" s="669">
        <f>-BM3/12*(BM6/100+(BM10+BM7-1)*BM4/100-(BM4+BM6)/100*(BM10+1)/2-(BM7-1))</f>
        <v>0.77291666666666681</v>
      </c>
      <c r="BP10" s="669">
        <v>5.5</v>
      </c>
      <c r="BQ10" s="670">
        <f>1+( BN10+BO10+BP10)/100</f>
        <v>1.2450901666666667</v>
      </c>
      <c r="BR10" s="671">
        <f>BR9/100+1</f>
        <v>1.07</v>
      </c>
      <c r="BS10" s="672">
        <f>BQ10*BR10</f>
        <v>1.3322464783333334</v>
      </c>
      <c r="BT10" s="673">
        <v>1.3532</v>
      </c>
      <c r="BU10" s="674">
        <v>1.3742000000000001</v>
      </c>
      <c r="BV10" s="675"/>
      <c r="BW10" s="663">
        <f>BW9*10</f>
        <v>40</v>
      </c>
      <c r="BX10" s="663">
        <v>40</v>
      </c>
      <c r="BY10" s="664">
        <v>0.9</v>
      </c>
    </row>
    <row r="11" spans="2:77">
      <c r="B11" s="646">
        <v>7</v>
      </c>
      <c r="C11" s="652">
        <f>IF($C$2=20.5,'S3'!A11,IF($C$2=21.5,'S3'!B11,IF($C$2=22.5,'S3'!C11,IF($C$2=23.5,'S3'!D11,IF($C$2=24.5,'S3'!E11,IF($C$2=25.5,'S3'!F11,IF($C$2=26.5,'S3'!G11,IF($C$2=27.5,'S3'!H11,IF($C$2=28.5,'S3'!I11,IF($C$2=29.5,'S3'!J11,IF($C$2=30.5,'S3'!K11,IF($C$2=31.5,'S3'!L11))))))))))))</f>
        <v>17.36</v>
      </c>
      <c r="D11" s="652">
        <f t="shared" si="3"/>
        <v>24.3</v>
      </c>
      <c r="E11" s="969">
        <f>IF($E$2=20.5,'S3'!Y11,IF($E$2=21.5,'S3'!Z11,IF($E$2=22.5,'S3'!AA11,IF($E$2=23.5,'S3'!AB11,IF($E$2=24.5,'S3'!AC11,IF($E$2=25.5,'S3'!AD11,IF($E$2=26.5,'S3'!AE11,IF($E$2=27.5,'S3'!AF11,IF($E$2=28.5,'S3'!AG11,IF($E$2=29.5,'S3'!AH11,IF($E$2=30.5,'S3'!AI11,IF($E$2=31.5,'S3'!AJ11))))))))))))</f>
        <v>11.55</v>
      </c>
      <c r="F11" s="652">
        <f t="shared" si="0"/>
        <v>16.170000000000002</v>
      </c>
      <c r="H11" s="655" t="s">
        <v>80</v>
      </c>
      <c r="I11" s="656"/>
      <c r="J11" s="2000"/>
      <c r="K11" s="1996"/>
      <c r="L11" s="2000"/>
      <c r="M11" s="1996"/>
      <c r="N11" s="2000"/>
      <c r="O11" s="1996"/>
      <c r="P11" s="1996"/>
      <c r="Q11" s="1996"/>
      <c r="R11" s="2000"/>
      <c r="S11" s="1996"/>
      <c r="T11" s="2000"/>
      <c r="U11" s="1996"/>
      <c r="V11" s="2000"/>
      <c r="W11" s="1996"/>
      <c r="X11" s="2000"/>
      <c r="Y11" s="1996"/>
      <c r="Z11" s="1996"/>
      <c r="AA11" s="1996"/>
      <c r="AB11" s="2000"/>
      <c r="AC11" s="1996"/>
      <c r="AD11" s="1996"/>
      <c r="AE11" s="1996"/>
      <c r="AF11" s="1996"/>
      <c r="AG11" s="1996"/>
      <c r="AH11" s="649"/>
      <c r="AI11" s="649"/>
      <c r="AJ11" s="649"/>
      <c r="AK11" s="649"/>
      <c r="AL11" s="649"/>
      <c r="AM11" s="649"/>
      <c r="AN11" s="649"/>
      <c r="AO11" s="649"/>
      <c r="AP11" s="649"/>
      <c r="AQ11" s="649"/>
      <c r="AR11" s="649"/>
      <c r="AS11" s="649"/>
      <c r="AT11" s="649"/>
      <c r="AU11" s="649"/>
      <c r="AV11" s="649"/>
      <c r="AW11" s="649"/>
      <c r="AX11" s="649"/>
      <c r="AY11" s="649"/>
      <c r="AZ11" s="649"/>
      <c r="BA11" s="649"/>
      <c r="BB11" s="649"/>
      <c r="BC11" s="649"/>
      <c r="BD11" s="650"/>
      <c r="BE11" s="650"/>
      <c r="BF11" s="676"/>
      <c r="BI11" s="677">
        <f>BI10/1000000</f>
        <v>5.6001401900000003</v>
      </c>
      <c r="BJ11" s="663"/>
      <c r="BK11" s="666"/>
      <c r="BL11" s="665">
        <v>10</v>
      </c>
      <c r="BM11" s="667">
        <v>9</v>
      </c>
      <c r="BN11" s="668">
        <v>14.041</v>
      </c>
      <c r="BO11" s="678">
        <f>-BM3/12*(BM6/100+(BM11+BM7-1)*BM4/100-(BM4+BM6)/100*(BM11+1)/2-(BM7-1))</f>
        <v>0.64166666666666672</v>
      </c>
      <c r="BP11" s="679">
        <v>5.5</v>
      </c>
      <c r="BQ11" s="670">
        <f>1+( BN11+BO11+BP11)/100</f>
        <v>1.2018266666666668</v>
      </c>
      <c r="BR11" s="671">
        <f>BR9/100+1</f>
        <v>1.07</v>
      </c>
      <c r="BS11" s="672">
        <f t="shared" ref="BS11:BS20" si="4">BQ11*BR11</f>
        <v>1.2859545333333335</v>
      </c>
      <c r="BT11" s="680">
        <v>1.3081</v>
      </c>
      <c r="BU11" s="681">
        <v>1.3303</v>
      </c>
      <c r="BV11" s="675"/>
      <c r="BW11" s="663">
        <f>VLOOKUP(BW10,BX9:BY14,2)</f>
        <v>0.9</v>
      </c>
      <c r="BX11" s="663">
        <v>50</v>
      </c>
      <c r="BY11" s="664">
        <v>1</v>
      </c>
    </row>
    <row r="12" spans="2:77">
      <c r="B12" s="646">
        <v>8</v>
      </c>
      <c r="C12" s="652">
        <f>IF($C$2=20.5,'S3'!A12,IF($C$2=21.5,'S3'!B12,IF($C$2=22.5,'S3'!C12,IF($C$2=23.5,'S3'!D12,IF($C$2=24.5,'S3'!E12,IF($C$2=25.5,'S3'!F12,IF($C$2=26.5,'S3'!G12,IF($C$2=27.5,'S3'!H12,IF($C$2=28.5,'S3'!I12,IF($C$2=29.5,'S3'!J12,IF($C$2=30.5,'S3'!K12,IF($C$2=31.5,'S3'!L12))))))))))))</f>
        <v>19.170000000000002</v>
      </c>
      <c r="D12" s="652">
        <f t="shared" si="3"/>
        <v>26.84</v>
      </c>
      <c r="E12" s="969">
        <f>IF($E$2=20.5,'S3'!Y12,IF($E$2=21.5,'S3'!Z12,IF($E$2=22.5,'S3'!AA12,IF($E$2=23.5,'S3'!AB12,IF($E$2=24.5,'S3'!AC12,IF($E$2=25.5,'S3'!AD12,IF($E$2=26.5,'S3'!AE12,IF($E$2=27.5,'S3'!AF12,IF($E$2=28.5,'S3'!AG12,IF($E$2=29.5,'S3'!AH12,IF($E$2=30.5,'S3'!AI12,IF($E$2=31.5,'S3'!AJ12))))))))))))</f>
        <v>12.76</v>
      </c>
      <c r="F12" s="652">
        <f t="shared" si="0"/>
        <v>17.86</v>
      </c>
      <c r="H12" s="653" t="s">
        <v>81</v>
      </c>
      <c r="I12" s="682" t="s">
        <v>31</v>
      </c>
      <c r="J12" s="2000"/>
      <c r="K12" s="1996"/>
      <c r="L12" s="2000"/>
      <c r="M12" s="1996"/>
      <c r="N12" s="2000">
        <v>10.130000000000001</v>
      </c>
      <c r="O12" s="1996">
        <v>10.66</v>
      </c>
      <c r="P12" s="1996">
        <v>10.23</v>
      </c>
      <c r="Q12" s="1996">
        <v>10.76</v>
      </c>
      <c r="R12" s="2000">
        <v>10.33</v>
      </c>
      <c r="S12" s="1996">
        <v>10.86</v>
      </c>
      <c r="T12" s="2000">
        <v>10.43</v>
      </c>
      <c r="U12" s="1996">
        <v>10.96</v>
      </c>
      <c r="V12" s="2000"/>
      <c r="W12" s="1996"/>
      <c r="X12" s="2000"/>
      <c r="Y12" s="1996"/>
      <c r="Z12" s="1996"/>
      <c r="AA12" s="1996"/>
      <c r="AB12" s="2000"/>
      <c r="AC12" s="1996"/>
      <c r="AD12" s="1996"/>
      <c r="AE12" s="1996"/>
      <c r="AF12" s="1996"/>
      <c r="AG12" s="1996">
        <v>9.56</v>
      </c>
      <c r="AH12" s="649"/>
      <c r="AI12" s="649"/>
      <c r="AJ12" s="649"/>
      <c r="AK12" s="649"/>
      <c r="AL12" s="649"/>
      <c r="AM12" s="649"/>
      <c r="AN12" s="649"/>
      <c r="AO12" s="649"/>
      <c r="AP12" s="649"/>
      <c r="AQ12" s="649"/>
      <c r="AR12" s="649"/>
      <c r="AS12" s="649"/>
      <c r="AT12" s="649"/>
      <c r="AU12" s="649"/>
      <c r="AV12" s="649"/>
      <c r="AW12" s="649"/>
      <c r="AX12" s="649"/>
      <c r="AY12" s="649"/>
      <c r="AZ12" s="649"/>
      <c r="BA12" s="649"/>
      <c r="BB12" s="649"/>
      <c r="BC12" s="649"/>
      <c r="BD12" s="650">
        <f t="shared" si="1"/>
        <v>10.23</v>
      </c>
      <c r="BE12" s="650">
        <f t="shared" si="2"/>
        <v>10.76</v>
      </c>
      <c r="BF12" s="651">
        <f>IF(แหล่งวัสดุ!$H$4=0,BD12,IF(แหล่งวัสดุ!$H$4=1,BE12,IF(แหล่งวัสดุ!$H$4=2,BE12,)))</f>
        <v>10.76</v>
      </c>
      <c r="BI12" s="683">
        <f>BI11/10</f>
        <v>0.56001401900000003</v>
      </c>
      <c r="BJ12" s="663"/>
      <c r="BK12" s="666"/>
      <c r="BL12" s="665">
        <v>20</v>
      </c>
      <c r="BM12" s="667">
        <v>12</v>
      </c>
      <c r="BN12" s="668">
        <v>9.7858000000000001</v>
      </c>
      <c r="BO12" s="678">
        <f>-BM3/12*(BM6/100+(BM12+BM7-1)*BM4/100-(BM4+BM6)/100*(BM12+1)/2-(BM7-1))</f>
        <v>0.51041666666666674</v>
      </c>
      <c r="BP12" s="679">
        <v>5.5</v>
      </c>
      <c r="BQ12" s="670">
        <f>1+( BN12+BO12+BP12)/100</f>
        <v>1.1579621666666666</v>
      </c>
      <c r="BR12" s="671">
        <f>BR9/100+1</f>
        <v>1.07</v>
      </c>
      <c r="BS12" s="672">
        <f t="shared" si="4"/>
        <v>1.2390195183333335</v>
      </c>
      <c r="BT12" s="680">
        <v>1.2605</v>
      </c>
      <c r="BU12" s="681">
        <v>1.2819</v>
      </c>
      <c r="BV12" s="675"/>
      <c r="BW12" s="663"/>
      <c r="BX12" s="663">
        <v>60</v>
      </c>
      <c r="BY12" s="664">
        <v>1.6</v>
      </c>
    </row>
    <row r="13" spans="2:77">
      <c r="B13" s="646">
        <v>9</v>
      </c>
      <c r="C13" s="652">
        <f>IF($C$2=20.5,'S3'!A13,IF($C$2=21.5,'S3'!B13,IF($C$2=22.5,'S3'!C13,IF($C$2=23.5,'S3'!D13,IF($C$2=24.5,'S3'!E13,IF($C$2=25.5,'S3'!F13,IF($C$2=26.5,'S3'!G13,IF($C$2=27.5,'S3'!H13,IF($C$2=28.5,'S3'!I13,IF($C$2=29.5,'S3'!J13,IF($C$2=30.5,'S3'!K13,IF($C$2=31.5,'S3'!L13))))))))))))</f>
        <v>21.41</v>
      </c>
      <c r="D13" s="652">
        <f t="shared" si="3"/>
        <v>29.97</v>
      </c>
      <c r="E13" s="969">
        <f>IF($E$2=20.5,'S3'!Y13,IF($E$2=21.5,'S3'!Z13,IF($E$2=22.5,'S3'!AA13,IF($E$2=23.5,'S3'!AB13,IF($E$2=24.5,'S3'!AC13,IF($E$2=25.5,'S3'!AD13,IF($E$2=26.5,'S3'!AE13,IF($E$2=27.5,'S3'!AF13,IF($E$2=28.5,'S3'!AG13,IF($E$2=29.5,'S3'!AH13,IF($E$2=30.5,'S3'!AI13,IF($E$2=31.5,'S3'!AJ13))))))))))))</f>
        <v>13.96</v>
      </c>
      <c r="F13" s="652">
        <f t="shared" si="0"/>
        <v>19.54</v>
      </c>
      <c r="H13" s="653" t="s">
        <v>82</v>
      </c>
      <c r="I13" s="682" t="s">
        <v>31</v>
      </c>
      <c r="J13" s="2000"/>
      <c r="K13" s="1996"/>
      <c r="L13" s="2000"/>
      <c r="M13" s="1996"/>
      <c r="N13" s="2000">
        <v>13.16</v>
      </c>
      <c r="O13" s="1996">
        <v>14.01</v>
      </c>
      <c r="P13" s="1996">
        <v>13.28</v>
      </c>
      <c r="Q13" s="1996">
        <v>14.13</v>
      </c>
      <c r="R13" s="2000">
        <v>13.41</v>
      </c>
      <c r="S13" s="1996">
        <v>14.26</v>
      </c>
      <c r="T13" s="2000">
        <v>13.53</v>
      </c>
      <c r="U13" s="1996">
        <v>14.38</v>
      </c>
      <c r="V13" s="2000"/>
      <c r="W13" s="1996"/>
      <c r="X13" s="2000"/>
      <c r="Y13" s="1996"/>
      <c r="Z13" s="1996"/>
      <c r="AA13" s="1996"/>
      <c r="AB13" s="2000"/>
      <c r="AC13" s="1996"/>
      <c r="AD13" s="1996"/>
      <c r="AE13" s="1996"/>
      <c r="AF13" s="1996"/>
      <c r="AG13" s="1996">
        <v>12.54</v>
      </c>
      <c r="AH13" s="649"/>
      <c r="AI13" s="649"/>
      <c r="AJ13" s="649"/>
      <c r="AK13" s="649"/>
      <c r="AL13" s="649"/>
      <c r="AM13" s="649"/>
      <c r="AN13" s="649"/>
      <c r="AO13" s="649"/>
      <c r="AP13" s="649"/>
      <c r="AQ13" s="649"/>
      <c r="AR13" s="649"/>
      <c r="AS13" s="649"/>
      <c r="AT13" s="649"/>
      <c r="AU13" s="649"/>
      <c r="AV13" s="649"/>
      <c r="AW13" s="649"/>
      <c r="AX13" s="649"/>
      <c r="AY13" s="649"/>
      <c r="AZ13" s="649"/>
      <c r="BA13" s="649"/>
      <c r="BB13" s="649"/>
      <c r="BC13" s="649"/>
      <c r="BD13" s="650">
        <f t="shared" si="1"/>
        <v>13.28</v>
      </c>
      <c r="BE13" s="650">
        <f t="shared" si="2"/>
        <v>14.13</v>
      </c>
      <c r="BF13" s="651">
        <f>IF(แหล่งวัสดุ!$H$4=0,BD13,IF(แหล่งวัสดุ!$H$4=1,BE13,IF(แหล่งวัสดุ!$H$4=2,BE13,)))</f>
        <v>14.13</v>
      </c>
      <c r="BI13" s="665">
        <f>IF(BI12&gt;=1,((ROUND(BI12-0.5,0))*10),5)</f>
        <v>5</v>
      </c>
      <c r="BJ13" s="663"/>
      <c r="BK13" s="666"/>
      <c r="BL13" s="665">
        <v>30</v>
      </c>
      <c r="BM13" s="667">
        <v>12</v>
      </c>
      <c r="BN13" s="668">
        <v>6.9081999999999999</v>
      </c>
      <c r="BO13" s="678">
        <f>-BM3/12*(BM6/100+(BM13+BM7-1)*BM4/100-(BM4+BM6)/100*(BM13+1)/2-(BM7-1))</f>
        <v>0.51041666666666674</v>
      </c>
      <c r="BP13" s="679">
        <v>5.5</v>
      </c>
      <c r="BQ13" s="670">
        <f t="shared" ref="BQ13:BQ20" si="5">1+( BN13+BO13+BP13)/100</f>
        <v>1.1291861666666667</v>
      </c>
      <c r="BR13" s="671">
        <f>BR9/100+1</f>
        <v>1.07</v>
      </c>
      <c r="BS13" s="672">
        <f t="shared" si="4"/>
        <v>1.2082291983333335</v>
      </c>
      <c r="BT13" s="680">
        <v>1.2271000000000001</v>
      </c>
      <c r="BU13" s="681">
        <v>1.246</v>
      </c>
      <c r="BV13" s="675"/>
      <c r="BW13" s="663"/>
      <c r="BX13" s="663">
        <v>70</v>
      </c>
      <c r="BY13" s="664">
        <v>1.7</v>
      </c>
    </row>
    <row r="14" spans="2:77">
      <c r="B14" s="646">
        <v>10</v>
      </c>
      <c r="C14" s="652">
        <f>IF($C$2=20.5,'S3'!A14,IF($C$2=21.5,'S3'!B14,IF($C$2=22.5,'S3'!C14,IF($C$2=23.5,'S3'!D14,IF($C$2=24.5,'S3'!E14,IF($C$2=25.5,'S3'!F14,IF($C$2=26.5,'S3'!G14,IF($C$2=27.5,'S3'!H14,IF($C$2=28.5,'S3'!I14,IF($C$2=29.5,'S3'!J14,IF($C$2=30.5,'S3'!K14,IF($C$2=31.5,'S3'!L14))))))))))))</f>
        <v>23.65</v>
      </c>
      <c r="D14" s="652">
        <f t="shared" si="3"/>
        <v>33.11</v>
      </c>
      <c r="E14" s="969">
        <f>IF($E$2=20.5,'S3'!Y14,IF($E$2=21.5,'S3'!Z14,IF($E$2=22.5,'S3'!AA14,IF($E$2=23.5,'S3'!AB14,IF($E$2=24.5,'S3'!AC14,IF($E$2=25.5,'S3'!AD14,IF($E$2=26.5,'S3'!AE14,IF($E$2=27.5,'S3'!AF14,IF($E$2=28.5,'S3'!AG14,IF($E$2=29.5,'S3'!AH14,IF($E$2=30.5,'S3'!AI14,IF($E$2=31.5,'S3'!AJ14))))))))))))</f>
        <v>15.17</v>
      </c>
      <c r="F14" s="652">
        <f t="shared" si="0"/>
        <v>21.24</v>
      </c>
      <c r="H14" s="653" t="s">
        <v>83</v>
      </c>
      <c r="I14" s="682" t="s">
        <v>31</v>
      </c>
      <c r="J14" s="2000"/>
      <c r="K14" s="1996"/>
      <c r="L14" s="2000"/>
      <c r="M14" s="1996"/>
      <c r="N14" s="2000">
        <v>10.58</v>
      </c>
      <c r="O14" s="1996">
        <v>11.02</v>
      </c>
      <c r="P14" s="1996">
        <v>10.68</v>
      </c>
      <c r="Q14" s="1996">
        <v>11.12</v>
      </c>
      <c r="R14" s="2000">
        <v>10.78</v>
      </c>
      <c r="S14" s="1996">
        <v>11.22</v>
      </c>
      <c r="T14" s="2000">
        <v>10.87</v>
      </c>
      <c r="U14" s="1996">
        <v>11.31</v>
      </c>
      <c r="V14" s="2000"/>
      <c r="W14" s="1996"/>
      <c r="X14" s="2000"/>
      <c r="Y14" s="1996"/>
      <c r="Z14" s="1996"/>
      <c r="AA14" s="1996"/>
      <c r="AB14" s="2000"/>
      <c r="AC14" s="1996"/>
      <c r="AD14" s="1996"/>
      <c r="AE14" s="1996"/>
      <c r="AF14" s="1996"/>
      <c r="AG14" s="1996">
        <v>9.7200000000000006</v>
      </c>
      <c r="AH14" s="649"/>
      <c r="AI14" s="649"/>
      <c r="AJ14" s="649"/>
      <c r="AK14" s="649"/>
      <c r="AL14" s="649"/>
      <c r="AM14" s="649"/>
      <c r="AN14" s="649"/>
      <c r="AO14" s="649"/>
      <c r="AP14" s="649"/>
      <c r="AQ14" s="649"/>
      <c r="AR14" s="649"/>
      <c r="AS14" s="649"/>
      <c r="AT14" s="649"/>
      <c r="AU14" s="649"/>
      <c r="AV14" s="649"/>
      <c r="AW14" s="649"/>
      <c r="AX14" s="649"/>
      <c r="AY14" s="649"/>
      <c r="AZ14" s="649"/>
      <c r="BA14" s="649"/>
      <c r="BB14" s="649"/>
      <c r="BC14" s="649"/>
      <c r="BD14" s="650">
        <f t="shared" si="1"/>
        <v>10.68</v>
      </c>
      <c r="BE14" s="650">
        <f t="shared" si="2"/>
        <v>11.12</v>
      </c>
      <c r="BF14" s="651">
        <f>IF(แหล่งวัสดุ!$H$4=0,BD14,IF(แหล่งวัสดุ!$H$4=1,BE14,IF(แหล่งวัสดุ!$H$4=2,BE14,)))</f>
        <v>11.12</v>
      </c>
      <c r="BI14" s="665">
        <f>(ROUND(BI12+0.5,0))*10</f>
        <v>10</v>
      </c>
      <c r="BJ14" s="663"/>
      <c r="BK14" s="666"/>
      <c r="BL14" s="665">
        <v>40</v>
      </c>
      <c r="BM14" s="667">
        <v>16</v>
      </c>
      <c r="BN14" s="668">
        <v>6.9898999999999996</v>
      </c>
      <c r="BO14" s="678">
        <f>-BM3/12*(BM6/100+(BM14+BM7-1)*BM4/100-(BM4+BM6)/100*(BM14+1)/2-(BM7-1))</f>
        <v>0.33541666666666653</v>
      </c>
      <c r="BP14" s="679">
        <v>5</v>
      </c>
      <c r="BQ14" s="670">
        <f t="shared" si="5"/>
        <v>1.1232531666666667</v>
      </c>
      <c r="BR14" s="671">
        <f>BR9/100+1</f>
        <v>1.07</v>
      </c>
      <c r="BS14" s="672">
        <f t="shared" si="4"/>
        <v>1.2018808883333334</v>
      </c>
      <c r="BT14" s="680">
        <v>1.2228000000000001</v>
      </c>
      <c r="BU14" s="681">
        <v>1.2437</v>
      </c>
      <c r="BV14" s="675"/>
      <c r="BW14" s="684"/>
      <c r="BX14" s="685">
        <v>80</v>
      </c>
      <c r="BY14" s="686">
        <v>1.8</v>
      </c>
    </row>
    <row r="15" spans="2:77">
      <c r="B15" s="646">
        <v>11</v>
      </c>
      <c r="C15" s="652">
        <f>IF($C$2=20.5,'S3'!A15,IF($C$2=21.5,'S3'!B15,IF($C$2=22.5,'S3'!C15,IF($C$2=23.5,'S3'!D15,IF($C$2=24.5,'S3'!E15,IF($C$2=25.5,'S3'!F15,IF($C$2=26.5,'S3'!G15,IF($C$2=27.5,'S3'!H15,IF($C$2=28.5,'S3'!I15,IF($C$2=29.5,'S3'!J15,IF($C$2=30.5,'S3'!K15,IF($C$2=31.5,'S3'!L15))))))))))))</f>
        <v>25.89</v>
      </c>
      <c r="D15" s="652">
        <f t="shared" si="3"/>
        <v>36.25</v>
      </c>
      <c r="E15" s="969">
        <f>IF($E$2=20.5,'S3'!Y15,IF($E$2=21.5,'S3'!Z15,IF($E$2=22.5,'S3'!AA15,IF($E$2=23.5,'S3'!AB15,IF($E$2=24.5,'S3'!AC15,IF($E$2=25.5,'S3'!AD15,IF($E$2=26.5,'S3'!AE15,IF($E$2=27.5,'S3'!AF15,IF($E$2=28.5,'S3'!AG15,IF($E$2=29.5,'S3'!AH15,IF($E$2=30.5,'S3'!AI15,IF($E$2=31.5,'S3'!AJ15))))))))))))</f>
        <v>16.37</v>
      </c>
      <c r="F15" s="652">
        <f t="shared" si="0"/>
        <v>22.92</v>
      </c>
      <c r="H15" s="655" t="s">
        <v>84</v>
      </c>
      <c r="I15" s="682" t="s">
        <v>31</v>
      </c>
      <c r="J15" s="2000"/>
      <c r="K15" s="1996"/>
      <c r="L15" s="2000"/>
      <c r="M15" s="1996"/>
      <c r="N15" s="2000">
        <v>6.25</v>
      </c>
      <c r="O15" s="1996">
        <v>6.41</v>
      </c>
      <c r="P15" s="1996">
        <v>6.38</v>
      </c>
      <c r="Q15" s="1996">
        <v>6.54</v>
      </c>
      <c r="R15" s="2000">
        <v>6.51</v>
      </c>
      <c r="S15" s="1996">
        <v>6.67</v>
      </c>
      <c r="T15" s="2000">
        <v>6.63</v>
      </c>
      <c r="U15" s="1996">
        <v>6.79</v>
      </c>
      <c r="V15" s="2000"/>
      <c r="W15" s="1996"/>
      <c r="X15" s="2000"/>
      <c r="Y15" s="1996"/>
      <c r="Z15" s="1996"/>
      <c r="AA15" s="1996"/>
      <c r="AB15" s="2000"/>
      <c r="AC15" s="1996"/>
      <c r="AD15" s="1996"/>
      <c r="AE15" s="1996"/>
      <c r="AF15" s="1996"/>
      <c r="AG15" s="1996">
        <v>7.38</v>
      </c>
      <c r="AH15" s="649"/>
      <c r="AI15" s="649"/>
      <c r="AJ15" s="649"/>
      <c r="AK15" s="649"/>
      <c r="AL15" s="649"/>
      <c r="AM15" s="649"/>
      <c r="AN15" s="649"/>
      <c r="AO15" s="649"/>
      <c r="AP15" s="649"/>
      <c r="AQ15" s="649"/>
      <c r="AR15" s="649"/>
      <c r="AS15" s="649"/>
      <c r="AT15" s="649"/>
      <c r="AU15" s="649"/>
      <c r="AV15" s="649"/>
      <c r="AW15" s="649"/>
      <c r="AX15" s="649"/>
      <c r="AY15" s="649"/>
      <c r="AZ15" s="649"/>
      <c r="BA15" s="649"/>
      <c r="BB15" s="649"/>
      <c r="BC15" s="649"/>
      <c r="BD15" s="650">
        <f t="shared" si="1"/>
        <v>6.38</v>
      </c>
      <c r="BE15" s="650">
        <f t="shared" si="2"/>
        <v>6.54</v>
      </c>
      <c r="BF15" s="651">
        <f>IF(แหล่งวัสดุ!$H$4=0,BD15,IF(แหล่งวัสดุ!$H$4=1,BE15,IF(แหล่งวัสดุ!$H$4=2,BE15,)))</f>
        <v>6.54</v>
      </c>
      <c r="BI15" s="683">
        <f>VLOOKUP(BI13,BL10:BS20,8)</f>
        <v>1.3322464783333334</v>
      </c>
      <c r="BJ15" s="672">
        <f>VLOOKUP(BI13,BL10:BT20,9)</f>
        <v>1.3532</v>
      </c>
      <c r="BK15" s="687">
        <f>VLOOKUP(BI13,BL10:BU20,10)</f>
        <v>1.3742000000000001</v>
      </c>
      <c r="BL15" s="665">
        <v>50</v>
      </c>
      <c r="BM15" s="667">
        <v>18</v>
      </c>
      <c r="BN15" s="668">
        <v>6.4551999999999996</v>
      </c>
      <c r="BO15" s="678">
        <f>-BM3/12*(BM6/100+(BM15+BM7-1)*BM4/100-(BM4+BM6)/100*(BM15+1)/2-(BM7-1))</f>
        <v>0.2479166666666667</v>
      </c>
      <c r="BP15" s="679">
        <v>5</v>
      </c>
      <c r="BQ15" s="670">
        <f t="shared" si="5"/>
        <v>1.1170311666666666</v>
      </c>
      <c r="BR15" s="671">
        <f>BR9/100+1</f>
        <v>1.07</v>
      </c>
      <c r="BS15" s="672">
        <f t="shared" si="4"/>
        <v>1.1952233483333332</v>
      </c>
      <c r="BT15" s="680">
        <v>1.2163999999999999</v>
      </c>
      <c r="BU15" s="681">
        <v>1.2376</v>
      </c>
      <c r="BV15" s="675"/>
    </row>
    <row r="16" spans="2:77">
      <c r="B16" s="646">
        <v>12</v>
      </c>
      <c r="C16" s="652">
        <f>IF($C$2=20.5,'S3'!A16,IF($C$2=21.5,'S3'!B16,IF($C$2=22.5,'S3'!C16,IF($C$2=23.5,'S3'!D16,IF($C$2=24.5,'S3'!E16,IF($C$2=25.5,'S3'!F16,IF($C$2=26.5,'S3'!G16,IF($C$2=27.5,'S3'!H16,IF($C$2=28.5,'S3'!I16,IF($C$2=29.5,'S3'!J16,IF($C$2=30.5,'S3'!K16,IF($C$2=31.5,'S3'!L16))))))))))))</f>
        <v>28.12</v>
      </c>
      <c r="D16" s="652">
        <f t="shared" si="3"/>
        <v>39.369999999999997</v>
      </c>
      <c r="E16" s="969">
        <f>IF($E$2=20.5,'S3'!Y16,IF($E$2=21.5,'S3'!Z16,IF($E$2=22.5,'S3'!AA16,IF($E$2=23.5,'S3'!AB16,IF($E$2=24.5,'S3'!AC16,IF($E$2=25.5,'S3'!AD16,IF($E$2=26.5,'S3'!AE16,IF($E$2=27.5,'S3'!AF16,IF($E$2=28.5,'S3'!AG16,IF($E$2=29.5,'S3'!AH16,IF($E$2=30.5,'S3'!AI16,IF($E$2=31.5,'S3'!AJ16))))))))))))</f>
        <v>17.579999999999998</v>
      </c>
      <c r="F16" s="652">
        <f t="shared" si="0"/>
        <v>24.61</v>
      </c>
      <c r="H16" s="655" t="s">
        <v>85</v>
      </c>
      <c r="I16" s="682" t="s">
        <v>31</v>
      </c>
      <c r="J16" s="2000"/>
      <c r="K16" s="1996"/>
      <c r="L16" s="2000"/>
      <c r="M16" s="1996"/>
      <c r="N16" s="2000">
        <v>6.1</v>
      </c>
      <c r="O16" s="1996">
        <v>6.32</v>
      </c>
      <c r="P16" s="1996">
        <v>6.22</v>
      </c>
      <c r="Q16" s="1996">
        <v>6.44</v>
      </c>
      <c r="R16" s="2000">
        <v>6.34</v>
      </c>
      <c r="S16" s="1996">
        <v>6.56</v>
      </c>
      <c r="T16" s="2000">
        <v>6.45</v>
      </c>
      <c r="U16" s="1996">
        <v>6.67</v>
      </c>
      <c r="V16" s="2000"/>
      <c r="W16" s="1996"/>
      <c r="X16" s="2000"/>
      <c r="Y16" s="1996"/>
      <c r="Z16" s="1996"/>
      <c r="AA16" s="1996"/>
      <c r="AB16" s="2000"/>
      <c r="AC16" s="1996"/>
      <c r="AD16" s="1996"/>
      <c r="AE16" s="1996"/>
      <c r="AF16" s="1996"/>
      <c r="AG16" s="1996">
        <v>7.16</v>
      </c>
      <c r="AH16" s="649"/>
      <c r="AI16" s="649"/>
      <c r="AJ16" s="649"/>
      <c r="AK16" s="649"/>
      <c r="AL16" s="649"/>
      <c r="AM16" s="649"/>
      <c r="AN16" s="649"/>
      <c r="AO16" s="649"/>
      <c r="AP16" s="649"/>
      <c r="AQ16" s="649"/>
      <c r="AR16" s="649"/>
      <c r="AS16" s="649"/>
      <c r="AT16" s="649"/>
      <c r="AU16" s="649"/>
      <c r="AV16" s="649"/>
      <c r="AW16" s="649"/>
      <c r="AX16" s="649"/>
      <c r="AY16" s="649"/>
      <c r="AZ16" s="649"/>
      <c r="BA16" s="649"/>
      <c r="BB16" s="649"/>
      <c r="BC16" s="649"/>
      <c r="BD16" s="650">
        <f t="shared" si="1"/>
        <v>6.22</v>
      </c>
      <c r="BE16" s="650">
        <f t="shared" si="2"/>
        <v>6.44</v>
      </c>
      <c r="BF16" s="651">
        <f>IF(แหล่งวัสดุ!$H$4=0,BD16,IF(แหล่งวัสดุ!$H$4=1,BE16,IF(แหล่งวัสดุ!$H$4=2,BE16,)))</f>
        <v>6.44</v>
      </c>
      <c r="BI16" s="683">
        <f>VLOOKUP(BI14,BL10:BS20,8)</f>
        <v>1.2859545333333335</v>
      </c>
      <c r="BJ16" s="672">
        <f>VLOOKUP(BI14,BL10:BT20,9)</f>
        <v>1.3081</v>
      </c>
      <c r="BK16" s="687">
        <f>VLOOKUP(BI14,BL10:BU20,10)</f>
        <v>1.3303</v>
      </c>
      <c r="BL16" s="665">
        <v>60</v>
      </c>
      <c r="BM16" s="667">
        <v>18</v>
      </c>
      <c r="BN16" s="668">
        <v>5.5918999999999999</v>
      </c>
      <c r="BO16" s="678">
        <f>-BM3/12*(BM6/100+(BM16+BM7-1)*BM4/100-(BM4+BM6)/100*(BM16+1)/2-(BM7-1))</f>
        <v>0.2479166666666667</v>
      </c>
      <c r="BP16" s="679">
        <v>5</v>
      </c>
      <c r="BQ16" s="670">
        <f t="shared" si="5"/>
        <v>1.1083981666666667</v>
      </c>
      <c r="BR16" s="671">
        <f>BR9/100+1</f>
        <v>1.07</v>
      </c>
      <c r="BS16" s="672">
        <f t="shared" si="4"/>
        <v>1.1859860383333334</v>
      </c>
      <c r="BT16" s="680">
        <v>1.206</v>
      </c>
      <c r="BU16" s="681">
        <v>1.226</v>
      </c>
      <c r="BV16" s="675"/>
    </row>
    <row r="17" spans="2:74">
      <c r="B17" s="646">
        <v>13</v>
      </c>
      <c r="C17" s="652">
        <f>IF($C$2=20.5,'S3'!A17,IF($C$2=21.5,'S3'!B17,IF($C$2=22.5,'S3'!C17,IF($C$2=23.5,'S3'!D17,IF($C$2=24.5,'S3'!E17,IF($C$2=25.5,'S3'!F17,IF($C$2=26.5,'S3'!G17,IF($C$2=27.5,'S3'!H17,IF($C$2=28.5,'S3'!I17,IF($C$2=29.5,'S3'!J17,IF($C$2=30.5,'S3'!K17,IF($C$2=31.5,'S3'!L17))))))))))))</f>
        <v>30.37</v>
      </c>
      <c r="D17" s="652">
        <f t="shared" si="3"/>
        <v>42.52</v>
      </c>
      <c r="E17" s="969">
        <f>IF($E$2=20.5,'S3'!Y17,IF($E$2=21.5,'S3'!Z17,IF($E$2=22.5,'S3'!AA17,IF($E$2=23.5,'S3'!AB17,IF($E$2=24.5,'S3'!AC17,IF($E$2=25.5,'S3'!AD17,IF($E$2=26.5,'S3'!AE17,IF($E$2=27.5,'S3'!AF17,IF($E$2=28.5,'S3'!AG17,IF($E$2=29.5,'S3'!AH17,IF($E$2=30.5,'S3'!AI17,IF($E$2=31.5,'S3'!AJ17))))))))))))</f>
        <v>18.78</v>
      </c>
      <c r="F17" s="652">
        <f t="shared" si="0"/>
        <v>26.29</v>
      </c>
      <c r="H17" s="655" t="s">
        <v>86</v>
      </c>
      <c r="I17" s="656"/>
      <c r="J17" s="1996"/>
      <c r="K17" s="1996"/>
      <c r="L17" s="1996"/>
      <c r="M17" s="1996"/>
      <c r="N17" s="1996"/>
      <c r="O17" s="1996"/>
      <c r="P17" s="1996"/>
      <c r="Q17" s="1996"/>
      <c r="R17" s="1996"/>
      <c r="S17" s="1996"/>
      <c r="T17" s="1996"/>
      <c r="U17" s="1996"/>
      <c r="V17" s="1996"/>
      <c r="W17" s="1996"/>
      <c r="X17" s="1996"/>
      <c r="Y17" s="1996"/>
      <c r="Z17" s="1996"/>
      <c r="AA17" s="1996"/>
      <c r="AB17" s="1996"/>
      <c r="AC17" s="1996"/>
      <c r="AD17" s="1996"/>
      <c r="AE17" s="1996"/>
      <c r="AF17" s="1996"/>
      <c r="AG17" s="1996"/>
      <c r="AH17" s="688"/>
      <c r="AI17" s="688"/>
      <c r="AJ17" s="688"/>
      <c r="AK17" s="688"/>
      <c r="AL17" s="688"/>
      <c r="AM17" s="688"/>
      <c r="AN17" s="688"/>
      <c r="AO17" s="688"/>
      <c r="AP17" s="688"/>
      <c r="AQ17" s="688"/>
      <c r="AR17" s="688"/>
      <c r="AS17" s="688"/>
      <c r="AT17" s="688"/>
      <c r="AU17" s="688"/>
      <c r="AV17" s="688"/>
      <c r="AW17" s="688"/>
      <c r="AX17" s="688"/>
      <c r="AY17" s="688"/>
      <c r="AZ17" s="688"/>
      <c r="BA17" s="688"/>
      <c r="BB17" s="688"/>
      <c r="BC17" s="688"/>
      <c r="BD17" s="650"/>
      <c r="BE17" s="650"/>
      <c r="BF17" s="658"/>
      <c r="BI17" s="1253">
        <f>ROUND(IF(BI11&gt;5,BI15-((BI15-BI16)/(BI14-BI13)*(BI11-BI13)),BI15),4)</f>
        <v>1.3267</v>
      </c>
      <c r="BJ17" s="689">
        <f>ROUND(IF(BI11&gt;5,BJ15-((BJ15-BJ16)/(BI14-BI13)*(BI11-BI13)),BJ15),4)</f>
        <v>1.3478000000000001</v>
      </c>
      <c r="BK17" s="1254">
        <f>ROUND(IF(BI11&gt;5,BK15-((BK15-BK16)/(BI14-BI13)*(BI11-BI13)),BK15),4)</f>
        <v>1.3689</v>
      </c>
      <c r="BL17" s="665">
        <v>70</v>
      </c>
      <c r="BM17" s="667">
        <v>19</v>
      </c>
      <c r="BN17" s="668">
        <v>5.4047999999999998</v>
      </c>
      <c r="BO17" s="678">
        <f>-BM3/12*(BM6/100+(BM17+BM7-1)*BM4/100-(BM4+BM6)/100*(BM17+1)/2-(BM7-1))</f>
        <v>0.20416666666666672</v>
      </c>
      <c r="BP17" s="679">
        <v>4.5</v>
      </c>
      <c r="BQ17" s="670">
        <f t="shared" si="5"/>
        <v>1.1010896666666667</v>
      </c>
      <c r="BR17" s="671">
        <f>BR9/100+1</f>
        <v>1.07</v>
      </c>
      <c r="BS17" s="672">
        <f t="shared" si="4"/>
        <v>1.1781659433333336</v>
      </c>
      <c r="BT17" s="680">
        <v>1.1982999999999999</v>
      </c>
      <c r="BU17" s="681">
        <v>1.2183999999999999</v>
      </c>
      <c r="BV17" s="675"/>
    </row>
    <row r="18" spans="2:74">
      <c r="B18" s="646">
        <v>14</v>
      </c>
      <c r="C18" s="652">
        <f>IF($C$2=20.5,'S3'!A18,IF($C$2=21.5,'S3'!B18,IF($C$2=22.5,'S3'!C18,IF($C$2=23.5,'S3'!D18,IF($C$2=24.5,'S3'!E18,IF($C$2=25.5,'S3'!F18,IF($C$2=26.5,'S3'!G18,IF($C$2=27.5,'S3'!H18,IF($C$2=28.5,'S3'!I18,IF($C$2=29.5,'S3'!J18,IF($C$2=30.5,'S3'!K18,IF($C$2=31.5,'S3'!L18))))))))))))</f>
        <v>32.6</v>
      </c>
      <c r="D18" s="652">
        <f t="shared" si="3"/>
        <v>45.64</v>
      </c>
      <c r="E18" s="969">
        <f>IF($E$2=20.5,'S3'!Y18,IF($E$2=21.5,'S3'!Z18,IF($E$2=22.5,'S3'!AA18,IF($E$2=23.5,'S3'!AB18,IF($E$2=24.5,'S3'!AC18,IF($E$2=25.5,'S3'!AD18,IF($E$2=26.5,'S3'!AE18,IF($E$2=27.5,'S3'!AF18,IF($E$2=28.5,'S3'!AG18,IF($E$2=29.5,'S3'!AH18,IF($E$2=30.5,'S3'!AI18,IF($E$2=31.5,'S3'!AJ18))))))))))))</f>
        <v>19.989999999999998</v>
      </c>
      <c r="F18" s="652">
        <f t="shared" si="0"/>
        <v>27.99</v>
      </c>
      <c r="H18" s="690" t="s">
        <v>137</v>
      </c>
      <c r="I18" s="682"/>
      <c r="J18" s="2000"/>
      <c r="K18" s="1996"/>
      <c r="L18" s="2000"/>
      <c r="M18" s="1996"/>
      <c r="N18" s="2000"/>
      <c r="O18" s="1996"/>
      <c r="P18" s="1996"/>
      <c r="Q18" s="1996"/>
      <c r="R18" s="2000"/>
      <c r="S18" s="1996"/>
      <c r="T18" s="2000"/>
      <c r="U18" s="1996"/>
      <c r="V18" s="2000"/>
      <c r="W18" s="1996"/>
      <c r="X18" s="2000"/>
      <c r="Y18" s="1996"/>
      <c r="Z18" s="1996"/>
      <c r="AA18" s="1996"/>
      <c r="AB18" s="2000"/>
      <c r="AC18" s="1996"/>
      <c r="AD18" s="1996"/>
      <c r="AE18" s="1996"/>
      <c r="AF18" s="1996"/>
      <c r="AG18" s="1996"/>
      <c r="AH18" s="649"/>
      <c r="AI18" s="649"/>
      <c r="AJ18" s="649"/>
      <c r="AK18" s="649"/>
      <c r="AL18" s="649"/>
      <c r="AM18" s="649"/>
      <c r="AN18" s="649"/>
      <c r="AO18" s="649"/>
      <c r="AP18" s="649"/>
      <c r="AQ18" s="649"/>
      <c r="AR18" s="649"/>
      <c r="AS18" s="649"/>
      <c r="AT18" s="649"/>
      <c r="AU18" s="649"/>
      <c r="AV18" s="649"/>
      <c r="AW18" s="649"/>
      <c r="AX18" s="649"/>
      <c r="AY18" s="649"/>
      <c r="AZ18" s="649"/>
      <c r="BA18" s="649"/>
      <c r="BB18" s="649"/>
      <c r="BC18" s="649"/>
      <c r="BD18" s="650"/>
      <c r="BE18" s="650"/>
      <c r="BF18" s="658"/>
      <c r="BI18" s="691"/>
      <c r="BJ18" s="692"/>
      <c r="BK18" s="693"/>
      <c r="BL18" s="665">
        <v>80</v>
      </c>
      <c r="BM18" s="667">
        <v>20</v>
      </c>
      <c r="BN18" s="668">
        <v>5.1508000000000003</v>
      </c>
      <c r="BO18" s="678">
        <f>-BM3/12*(BM6/100+(BM18+BM7-1)*BM4/100-(BM4+BM6)/100*(BM18+1)/2-(BM7-1))</f>
        <v>0.16041666666666676</v>
      </c>
      <c r="BP18" s="679">
        <v>4.5</v>
      </c>
      <c r="BQ18" s="670">
        <f t="shared" si="5"/>
        <v>1.0981121666666667</v>
      </c>
      <c r="BR18" s="671">
        <f>BR9/100+1</f>
        <v>1.07</v>
      </c>
      <c r="BS18" s="672">
        <f t="shared" si="4"/>
        <v>1.1749800183333334</v>
      </c>
      <c r="BT18" s="680">
        <v>1.1951000000000001</v>
      </c>
      <c r="BU18" s="681">
        <v>1.2152000000000001</v>
      </c>
      <c r="BV18" s="675"/>
    </row>
    <row r="19" spans="2:74">
      <c r="B19" s="646">
        <v>15</v>
      </c>
      <c r="C19" s="652">
        <f>IF($C$2=20.5,'S3'!A19,IF($C$2=21.5,'S3'!B19,IF($C$2=22.5,'S3'!C19,IF($C$2=23.5,'S3'!D19,IF($C$2=24.5,'S3'!E19,IF($C$2=25.5,'S3'!F19,IF($C$2=26.5,'S3'!G19,IF($C$2=27.5,'S3'!H19,IF($C$2=28.5,'S3'!I19,IF($C$2=29.5,'S3'!J19,IF($C$2=30.5,'S3'!K19,IF($C$2=31.5,'S3'!L19))))))))))))</f>
        <v>34.840000000000003</v>
      </c>
      <c r="D19" s="652">
        <f t="shared" si="3"/>
        <v>48.78</v>
      </c>
      <c r="E19" s="969">
        <f>IF($E$2=20.5,'S3'!Y19,IF($E$2=21.5,'S3'!Z19,IF($E$2=22.5,'S3'!AA19,IF($E$2=23.5,'S3'!AB19,IF($E$2=24.5,'S3'!AC19,IF($E$2=25.5,'S3'!AD19,IF($E$2=26.5,'S3'!AE19,IF($E$2=27.5,'S3'!AF19,IF($E$2=28.5,'S3'!AG19,IF($E$2=29.5,'S3'!AH19,IF($E$2=30.5,'S3'!AI19,IF($E$2=31.5,'S3'!AJ19))))))))))))</f>
        <v>21.25</v>
      </c>
      <c r="F19" s="652">
        <f t="shared" si="0"/>
        <v>29.75</v>
      </c>
      <c r="H19" s="690" t="s">
        <v>138</v>
      </c>
      <c r="I19" s="682" t="s">
        <v>31</v>
      </c>
      <c r="J19" s="2000"/>
      <c r="K19" s="1996"/>
      <c r="L19" s="2000"/>
      <c r="M19" s="1996"/>
      <c r="N19" s="2000">
        <v>13.7</v>
      </c>
      <c r="O19" s="1996">
        <v>14.41</v>
      </c>
      <c r="P19" s="1996">
        <v>13.86</v>
      </c>
      <c r="Q19" s="1996">
        <v>14.57</v>
      </c>
      <c r="R19" s="2000">
        <v>14.03</v>
      </c>
      <c r="S19" s="1996">
        <v>14.74</v>
      </c>
      <c r="T19" s="2000">
        <v>14.19</v>
      </c>
      <c r="U19" s="1996">
        <v>14.9</v>
      </c>
      <c r="V19" s="2000"/>
      <c r="W19" s="1996"/>
      <c r="X19" s="2000"/>
      <c r="Y19" s="1996"/>
      <c r="Z19" s="1996"/>
      <c r="AA19" s="1996"/>
      <c r="AB19" s="2000"/>
      <c r="AC19" s="1996"/>
      <c r="AD19" s="1996"/>
      <c r="AE19" s="1996"/>
      <c r="AF19" s="1996"/>
      <c r="AG19" s="1996">
        <v>15.05</v>
      </c>
      <c r="AH19" s="649"/>
      <c r="AI19" s="649"/>
      <c r="AJ19" s="649"/>
      <c r="AK19" s="649"/>
      <c r="AL19" s="649"/>
      <c r="AM19" s="649"/>
      <c r="AN19" s="649"/>
      <c r="AO19" s="649"/>
      <c r="AP19" s="649"/>
      <c r="AQ19" s="649"/>
      <c r="AR19" s="649"/>
      <c r="AS19" s="649"/>
      <c r="AT19" s="649"/>
      <c r="AU19" s="649"/>
      <c r="AV19" s="649"/>
      <c r="AW19" s="649"/>
      <c r="AX19" s="649"/>
      <c r="AY19" s="649"/>
      <c r="AZ19" s="649"/>
      <c r="BA19" s="649"/>
      <c r="BB19" s="649"/>
      <c r="BC19" s="649"/>
      <c r="BD19" s="650">
        <f t="shared" si="1"/>
        <v>13.86</v>
      </c>
      <c r="BE19" s="650">
        <f t="shared" si="2"/>
        <v>14.57</v>
      </c>
      <c r="BF19" s="651">
        <f>IF(แหล่งวัสดุ!$H$4=0,BD19,IF(แหล่งวัสดุ!$H$4=1,BE19,IF(แหล่งวัสดุ!$H$4=2,BE19,)))</f>
        <v>14.57</v>
      </c>
      <c r="BI19" s="694"/>
      <c r="BJ19" s="653"/>
      <c r="BK19" s="695"/>
      <c r="BL19" s="665">
        <v>90</v>
      </c>
      <c r="BM19" s="667">
        <v>20</v>
      </c>
      <c r="BN19" s="668">
        <v>4.7691999999999997</v>
      </c>
      <c r="BO19" s="678">
        <f>-BM3/12*(BM6/100+(BM19+BM7-1)*BM4/100-(BM4+BM6)/100*(BM19+1)/2-(BM7-1))</f>
        <v>0.16041666666666676</v>
      </c>
      <c r="BP19" s="679">
        <v>4.5</v>
      </c>
      <c r="BQ19" s="670">
        <f t="shared" si="5"/>
        <v>1.0942961666666666</v>
      </c>
      <c r="BR19" s="671">
        <f>BR9/100+1</f>
        <v>1.07</v>
      </c>
      <c r="BS19" s="672">
        <f t="shared" si="4"/>
        <v>1.1708968983333334</v>
      </c>
      <c r="BT19" s="680">
        <v>1.1904999999999999</v>
      </c>
      <c r="BU19" s="681">
        <v>1.21</v>
      </c>
      <c r="BV19" s="675"/>
    </row>
    <row r="20" spans="2:74" ht="21.75" thickBot="1">
      <c r="B20" s="646">
        <v>16</v>
      </c>
      <c r="C20" s="652">
        <f>IF($C$2=20.5,'S3'!A20,IF($C$2=21.5,'S3'!B20,IF($C$2=22.5,'S3'!C20,IF($C$2=23.5,'S3'!D20,IF($C$2=24.5,'S3'!E20,IF($C$2=25.5,'S3'!F20,IF($C$2=26.5,'S3'!G20,IF($C$2=27.5,'S3'!H20,IF($C$2=28.5,'S3'!I20,IF($C$2=29.5,'S3'!J20,IF($C$2=30.5,'S3'!K20,IF($C$2=31.5,'S3'!L20))))))))))))</f>
        <v>37.08</v>
      </c>
      <c r="D20" s="652">
        <f t="shared" si="3"/>
        <v>51.91</v>
      </c>
      <c r="E20" s="969">
        <f>IF($E$2=20.5,'S3'!Y20,IF($E$2=21.5,'S3'!Z20,IF($E$2=22.5,'S3'!AA20,IF($E$2=23.5,'S3'!AB20,IF($E$2=24.5,'S3'!AC20,IF($E$2=25.5,'S3'!AD20,IF($E$2=26.5,'S3'!AE20,IF($E$2=27.5,'S3'!AF20,IF($E$2=28.5,'S3'!AG20,IF($E$2=29.5,'S3'!AH20,IF($E$2=30.5,'S3'!AI20,IF($E$2=31.5,'S3'!AJ20))))))))))))</f>
        <v>22.63</v>
      </c>
      <c r="F20" s="652">
        <f t="shared" si="0"/>
        <v>31.68</v>
      </c>
      <c r="H20" s="653" t="s">
        <v>139</v>
      </c>
      <c r="I20" s="682" t="s">
        <v>31</v>
      </c>
      <c r="J20" s="2000"/>
      <c r="K20" s="1996"/>
      <c r="L20" s="2000"/>
      <c r="M20" s="1996"/>
      <c r="N20" s="2000">
        <v>10.86</v>
      </c>
      <c r="O20" s="1996">
        <v>11.43</v>
      </c>
      <c r="P20" s="1996">
        <v>10.97</v>
      </c>
      <c r="Q20" s="1996">
        <v>11.54</v>
      </c>
      <c r="R20" s="2000">
        <v>11.08</v>
      </c>
      <c r="S20" s="1996">
        <v>11.65</v>
      </c>
      <c r="T20" s="2000">
        <v>11.19</v>
      </c>
      <c r="U20" s="1996">
        <v>11.76</v>
      </c>
      <c r="V20" s="2000"/>
      <c r="W20" s="1996"/>
      <c r="X20" s="2000"/>
      <c r="Y20" s="1996"/>
      <c r="Z20" s="1996"/>
      <c r="AA20" s="1996"/>
      <c r="AB20" s="2000"/>
      <c r="AC20" s="1996"/>
      <c r="AD20" s="1996"/>
      <c r="AE20" s="1996"/>
      <c r="AF20" s="1996"/>
      <c r="AG20" s="1996">
        <v>11.82</v>
      </c>
      <c r="AH20" s="649"/>
      <c r="AI20" s="649"/>
      <c r="AJ20" s="649"/>
      <c r="AK20" s="649"/>
      <c r="AL20" s="649"/>
      <c r="AM20" s="649"/>
      <c r="AN20" s="649"/>
      <c r="AO20" s="649"/>
      <c r="AP20" s="649"/>
      <c r="AQ20" s="649"/>
      <c r="AR20" s="649"/>
      <c r="AS20" s="649"/>
      <c r="AT20" s="649"/>
      <c r="AU20" s="649"/>
      <c r="AV20" s="649"/>
      <c r="AW20" s="649"/>
      <c r="AX20" s="649"/>
      <c r="AY20" s="649"/>
      <c r="AZ20" s="649"/>
      <c r="BA20" s="649"/>
      <c r="BB20" s="649"/>
      <c r="BC20" s="649"/>
      <c r="BD20" s="650">
        <f t="shared" si="1"/>
        <v>10.97</v>
      </c>
      <c r="BE20" s="650">
        <f t="shared" si="2"/>
        <v>11.54</v>
      </c>
      <c r="BF20" s="651">
        <f>IF(แหล่งวัสดุ!$H$4=0,BD20,IF(แหล่งวัสดุ!$H$4=1,BE20,IF(แหล่งวัสดุ!$H$4=2,BE20,)))</f>
        <v>11.54</v>
      </c>
      <c r="BI20" s="696"/>
      <c r="BJ20" s="697"/>
      <c r="BK20" s="698"/>
      <c r="BL20" s="699">
        <v>100</v>
      </c>
      <c r="BM20" s="700">
        <v>20</v>
      </c>
      <c r="BN20" s="701">
        <v>4.4638999999999998</v>
      </c>
      <c r="BO20" s="702">
        <f>-BM3/12*(BM6/100+(BM20+BM7-1)*BM4/100-(BM4+BM6)/100*(BM20+1)/2-(BM7-1))</f>
        <v>0.16041666666666676</v>
      </c>
      <c r="BP20" s="703">
        <v>4.5</v>
      </c>
      <c r="BQ20" s="704">
        <f t="shared" si="5"/>
        <v>1.0912431666666667</v>
      </c>
      <c r="BR20" s="705">
        <f>BR9/100+1</f>
        <v>1.07</v>
      </c>
      <c r="BS20" s="704">
        <f t="shared" si="4"/>
        <v>1.1676301883333333</v>
      </c>
      <c r="BT20" s="706">
        <v>1.1867000000000001</v>
      </c>
      <c r="BU20" s="707">
        <v>1.2058</v>
      </c>
      <c r="BV20" s="675"/>
    </row>
    <row r="21" spans="2:74" ht="21.75">
      <c r="B21" s="646">
        <v>17</v>
      </c>
      <c r="C21" s="652">
        <f>IF($C$2=20.5,'S3'!A21,IF($C$2=21.5,'S3'!B21,IF($C$2=22.5,'S3'!C21,IF($C$2=23.5,'S3'!D21,IF($C$2=24.5,'S3'!E21,IF($C$2=25.5,'S3'!F21,IF($C$2=26.5,'S3'!G21,IF($C$2=27.5,'S3'!H21,IF($C$2=28.5,'S3'!I21,IF($C$2=29.5,'S3'!J21,IF($C$2=30.5,'S3'!K21,IF($C$2=31.5,'S3'!L21))))))))))))</f>
        <v>39.32</v>
      </c>
      <c r="D21" s="652">
        <f t="shared" si="3"/>
        <v>55.05</v>
      </c>
      <c r="E21" s="969">
        <f>IF($E$2=20.5,'S3'!Y21,IF($E$2=21.5,'S3'!Z21,IF($E$2=22.5,'S3'!AA21,IF($E$2=23.5,'S3'!AB21,IF($E$2=24.5,'S3'!AC21,IF($E$2=25.5,'S3'!AD21,IF($E$2=26.5,'S3'!AE21,IF($E$2=27.5,'S3'!AF21,IF($E$2=28.5,'S3'!AG21,IF($E$2=29.5,'S3'!AH21,IF($E$2=30.5,'S3'!AI21,IF($E$2=31.5,'S3'!AJ21))))))))))))</f>
        <v>24</v>
      </c>
      <c r="F21" s="652">
        <f t="shared" si="0"/>
        <v>33.6</v>
      </c>
      <c r="H21" s="653" t="s">
        <v>140</v>
      </c>
      <c r="I21" s="682" t="s">
        <v>87</v>
      </c>
      <c r="J21" s="2000"/>
      <c r="K21" s="1996"/>
      <c r="L21" s="2000"/>
      <c r="M21" s="1996"/>
      <c r="N21" s="2000">
        <v>296.94</v>
      </c>
      <c r="O21" s="1996">
        <v>301.13</v>
      </c>
      <c r="P21" s="1996">
        <v>307.73</v>
      </c>
      <c r="Q21" s="1996">
        <v>311.92</v>
      </c>
      <c r="R21" s="2000">
        <v>318.51</v>
      </c>
      <c r="S21" s="1996">
        <v>322.7</v>
      </c>
      <c r="T21" s="2000">
        <v>329.29</v>
      </c>
      <c r="U21" s="1996">
        <v>333.48</v>
      </c>
      <c r="V21" s="2000"/>
      <c r="W21" s="1996"/>
      <c r="X21" s="2000"/>
      <c r="Y21" s="1996"/>
      <c r="Z21" s="1996"/>
      <c r="AA21" s="1996"/>
      <c r="AB21" s="2000"/>
      <c r="AC21" s="1996"/>
      <c r="AD21" s="1996"/>
      <c r="AE21" s="1996"/>
      <c r="AF21" s="1996"/>
      <c r="AG21" s="1996">
        <v>397.76</v>
      </c>
      <c r="AH21" s="649"/>
      <c r="AI21" s="649"/>
      <c r="AJ21" s="649"/>
      <c r="AK21" s="649"/>
      <c r="AL21" s="649"/>
      <c r="AM21" s="649"/>
      <c r="AN21" s="649"/>
      <c r="AO21" s="649"/>
      <c r="AP21" s="649"/>
      <c r="AQ21" s="649"/>
      <c r="AR21" s="649"/>
      <c r="AS21" s="649"/>
      <c r="AT21" s="649"/>
      <c r="AU21" s="649"/>
      <c r="AV21" s="649"/>
      <c r="AW21" s="649"/>
      <c r="AX21" s="649"/>
      <c r="AY21" s="649"/>
      <c r="AZ21" s="649"/>
      <c r="BA21" s="649"/>
      <c r="BB21" s="649"/>
      <c r="BC21" s="649"/>
      <c r="BD21" s="650">
        <f t="shared" si="1"/>
        <v>307.73</v>
      </c>
      <c r="BE21" s="650">
        <f t="shared" si="2"/>
        <v>311.92</v>
      </c>
      <c r="BF21" s="651">
        <f>IF(แหล่งวัสดุ!$H$4=0,BD21,IF(แหล่งวัสดุ!$H$4=1,BE21,IF(แหล่งวัสดุ!$H$4=2,BE21,)))</f>
        <v>311.92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2:74" ht="21.75">
      <c r="B22" s="646">
        <v>18</v>
      </c>
      <c r="C22" s="652">
        <f>IF($C$2=20.5,'S3'!A22,IF($C$2=21.5,'S3'!B22,IF($C$2=22.5,'S3'!C22,IF($C$2=23.5,'S3'!D22,IF($C$2=24.5,'S3'!E22,IF($C$2=25.5,'S3'!F22,IF($C$2=26.5,'S3'!G22,IF($C$2=27.5,'S3'!H22,IF($C$2=28.5,'S3'!I22,IF($C$2=29.5,'S3'!J22,IF($C$2=30.5,'S3'!K22,IF($C$2=31.5,'S3'!L22))))))))))))</f>
        <v>41.56</v>
      </c>
      <c r="D22" s="652">
        <f t="shared" si="3"/>
        <v>58.18</v>
      </c>
      <c r="E22" s="969">
        <f>IF($E$2=20.5,'S3'!Y22,IF($E$2=21.5,'S3'!Z22,IF($E$2=22.5,'S3'!AA22,IF($E$2=23.5,'S3'!AB22,IF($E$2=24.5,'S3'!AC22,IF($E$2=25.5,'S3'!AD22,IF($E$2=26.5,'S3'!AE22,IF($E$2=27.5,'S3'!AF22,IF($E$2=28.5,'S3'!AG22,IF($E$2=29.5,'S3'!AH22,IF($E$2=30.5,'S3'!AI22,IF($E$2=31.5,'S3'!AJ22))))))))))))</f>
        <v>25.38</v>
      </c>
      <c r="F22" s="652">
        <f t="shared" si="0"/>
        <v>35.53</v>
      </c>
      <c r="H22" s="655" t="s">
        <v>88</v>
      </c>
      <c r="I22" s="656"/>
      <c r="J22" s="2000"/>
      <c r="K22" s="1996"/>
      <c r="L22" s="2000"/>
      <c r="M22" s="1996"/>
      <c r="N22" s="2000"/>
      <c r="O22" s="1996"/>
      <c r="P22" s="1996"/>
      <c r="Q22" s="1996"/>
      <c r="R22" s="2000"/>
      <c r="S22" s="1996"/>
      <c r="T22" s="2000"/>
      <c r="U22" s="1996"/>
      <c r="V22" s="2000"/>
      <c r="W22" s="1996"/>
      <c r="X22" s="2000"/>
      <c r="Y22" s="1996"/>
      <c r="Z22" s="1996"/>
      <c r="AA22" s="1996"/>
      <c r="AB22" s="2000"/>
      <c r="AC22" s="1996"/>
      <c r="AD22" s="1996"/>
      <c r="AE22" s="1996"/>
      <c r="AF22" s="1996"/>
      <c r="AG22" s="1996"/>
      <c r="AH22" s="649"/>
      <c r="AI22" s="649"/>
      <c r="AJ22" s="649"/>
      <c r="AK22" s="649"/>
      <c r="AL22" s="649"/>
      <c r="AM22" s="649"/>
      <c r="AN22" s="649"/>
      <c r="AO22" s="649"/>
      <c r="AP22" s="649"/>
      <c r="AQ22" s="649"/>
      <c r="AR22" s="649"/>
      <c r="AS22" s="649"/>
      <c r="AT22" s="649"/>
      <c r="AU22" s="649"/>
      <c r="AV22" s="649"/>
      <c r="AW22" s="649"/>
      <c r="AX22" s="649"/>
      <c r="AY22" s="649"/>
      <c r="AZ22" s="649"/>
      <c r="BA22" s="649"/>
      <c r="BB22" s="649"/>
      <c r="BC22" s="649"/>
      <c r="BD22" s="650"/>
      <c r="BE22" s="650"/>
      <c r="BF22" s="658"/>
      <c r="BI22" s="1252">
        <f>+(BI12-0.5)*10</f>
        <v>0.6001401900000003</v>
      </c>
      <c r="BJ22"/>
      <c r="BK22"/>
      <c r="BL22"/>
      <c r="BM22"/>
      <c r="BN22"/>
      <c r="BO22"/>
      <c r="BP22"/>
      <c r="BQ22"/>
      <c r="BR22"/>
      <c r="BS22"/>
      <c r="BT22"/>
      <c r="BU22"/>
    </row>
    <row r="23" spans="2:74" ht="21.75">
      <c r="B23" s="646">
        <v>19</v>
      </c>
      <c r="C23" s="652">
        <f>IF($C$2=20.5,'S3'!A23,IF($C$2=21.5,'S3'!B23,IF($C$2=22.5,'S3'!C23,IF($C$2=23.5,'S3'!D23,IF($C$2=24.5,'S3'!E23,IF($C$2=25.5,'S3'!F23,IF($C$2=26.5,'S3'!G23,IF($C$2=27.5,'S3'!H23,IF($C$2=28.5,'S3'!I23,IF($C$2=29.5,'S3'!J23,IF($C$2=30.5,'S3'!K23,IF($C$2=31.5,'S3'!L23))))))))))))</f>
        <v>43.8</v>
      </c>
      <c r="D23" s="652">
        <f t="shared" si="3"/>
        <v>61.32</v>
      </c>
      <c r="E23" s="969">
        <f>IF($E$2=20.5,'S3'!Y23,IF($E$2=21.5,'S3'!Z23,IF($E$2=22.5,'S3'!AA23,IF($E$2=23.5,'S3'!AB23,IF($E$2=24.5,'S3'!AC23,IF($E$2=25.5,'S3'!AD23,IF($E$2=26.5,'S3'!AE23,IF($E$2=27.5,'S3'!AF23,IF($E$2=28.5,'S3'!AG23,IF($E$2=29.5,'S3'!AH23,IF($E$2=30.5,'S3'!AI23,IF($E$2=31.5,'S3'!AJ23))))))))))))</f>
        <v>26.75</v>
      </c>
      <c r="F23" s="652">
        <f t="shared" si="0"/>
        <v>37.450000000000003</v>
      </c>
      <c r="H23" s="653" t="s">
        <v>89</v>
      </c>
      <c r="I23" s="682" t="s">
        <v>90</v>
      </c>
      <c r="J23" s="1996"/>
      <c r="K23" s="1996"/>
      <c r="L23" s="1996"/>
      <c r="M23" s="1996"/>
      <c r="N23" s="1996"/>
      <c r="O23" s="1996"/>
      <c r="P23" s="1996"/>
      <c r="Q23" s="1996"/>
      <c r="R23" s="1996"/>
      <c r="S23" s="1996"/>
      <c r="T23" s="1996"/>
      <c r="U23" s="1996"/>
      <c r="V23" s="1996"/>
      <c r="W23" s="1996"/>
      <c r="X23" s="1996"/>
      <c r="Y23" s="1996"/>
      <c r="Z23" s="1996"/>
      <c r="AA23" s="1996"/>
      <c r="AB23" s="1996"/>
      <c r="AC23" s="1996"/>
      <c r="AD23" s="1996"/>
      <c r="AE23" s="1996"/>
      <c r="AF23" s="1996"/>
      <c r="AG23" s="1996">
        <v>16.5</v>
      </c>
      <c r="AH23" s="688"/>
      <c r="AI23" s="688"/>
      <c r="AJ23" s="688"/>
      <c r="AK23" s="688"/>
      <c r="AL23" s="688"/>
      <c r="AM23" s="688"/>
      <c r="AN23" s="688"/>
      <c r="AO23" s="688"/>
      <c r="AP23" s="688"/>
      <c r="AQ23" s="688"/>
      <c r="AR23" s="688"/>
      <c r="AS23" s="688"/>
      <c r="AT23" s="688"/>
      <c r="AU23" s="688"/>
      <c r="AV23" s="688"/>
      <c r="AW23" s="688"/>
      <c r="AX23" s="688"/>
      <c r="AY23" s="688"/>
      <c r="AZ23" s="688"/>
      <c r="BA23" s="688"/>
      <c r="BB23" s="688"/>
      <c r="BC23" s="688"/>
      <c r="BD23" s="650">
        <f t="shared" si="1"/>
        <v>0</v>
      </c>
      <c r="BE23" s="650">
        <f t="shared" si="2"/>
        <v>0</v>
      </c>
      <c r="BF23" s="651">
        <f>IF(แหล่งวัสดุ!$H$4=0,BD23,IF(แหล่งวัสดุ!$H$4=1,BE23,IF(แหล่งวัสดุ!$H$4=2,BE23,)))</f>
        <v>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</row>
    <row r="24" spans="2:74" ht="29.25">
      <c r="B24" s="646">
        <v>20</v>
      </c>
      <c r="C24" s="652">
        <f>IF($C$2=20.5,'S3'!A24,IF($C$2=21.5,'S3'!B24,IF($C$2=22.5,'S3'!C24,IF($C$2=23.5,'S3'!D24,IF($C$2=24.5,'S3'!E24,IF($C$2=25.5,'S3'!F24,IF($C$2=26.5,'S3'!G24,IF($C$2=27.5,'S3'!H24,IF($C$2=28.5,'S3'!I24,IF($C$2=29.5,'S3'!J24,IF($C$2=30.5,'S3'!K24,IF($C$2=31.5,'S3'!L24))))))))))))</f>
        <v>46.04</v>
      </c>
      <c r="D24" s="652">
        <f t="shared" si="3"/>
        <v>64.459999999999994</v>
      </c>
      <c r="E24" s="969">
        <f>IF($E$2=20.5,'S3'!Y24,IF($E$2=21.5,'S3'!Z24,IF($E$2=22.5,'S3'!AA24,IF($E$2=23.5,'S3'!AB24,IF($E$2=24.5,'S3'!AC24,IF($E$2=25.5,'S3'!AD24,IF($E$2=26.5,'S3'!AE24,IF($E$2=27.5,'S3'!AF24,IF($E$2=28.5,'S3'!AG24,IF($E$2=29.5,'S3'!AH24,IF($E$2=30.5,'S3'!AI24,IF($E$2=31.5,'S3'!AJ24))))))))))))</f>
        <v>28.13</v>
      </c>
      <c r="F24" s="652">
        <f t="shared" si="0"/>
        <v>39.380000000000003</v>
      </c>
      <c r="H24" s="653" t="s">
        <v>91</v>
      </c>
      <c r="I24" s="682" t="s">
        <v>90</v>
      </c>
      <c r="J24" s="1996"/>
      <c r="K24" s="1996"/>
      <c r="L24" s="1996"/>
      <c r="M24" s="1996"/>
      <c r="N24" s="1996">
        <v>2.4</v>
      </c>
      <c r="O24" s="1996">
        <v>2.5</v>
      </c>
      <c r="P24" s="1996">
        <v>2.44</v>
      </c>
      <c r="Q24" s="1996">
        <v>2.54</v>
      </c>
      <c r="R24" s="1996">
        <v>2.48</v>
      </c>
      <c r="S24" s="1996">
        <v>2.58</v>
      </c>
      <c r="T24" s="1996">
        <v>2.5299999999999998</v>
      </c>
      <c r="U24" s="1996">
        <v>2.63</v>
      </c>
      <c r="V24" s="1996"/>
      <c r="W24" s="1996"/>
      <c r="X24" s="1996"/>
      <c r="Y24" s="1996"/>
      <c r="Z24" s="1996"/>
      <c r="AA24" s="1996"/>
      <c r="AB24" s="1996"/>
      <c r="AC24" s="1996"/>
      <c r="AD24" s="1996"/>
      <c r="AE24" s="1996"/>
      <c r="AF24" s="1996"/>
      <c r="AG24" s="1996">
        <v>2.81</v>
      </c>
      <c r="AH24" s="688"/>
      <c r="AI24" s="688"/>
      <c r="AJ24" s="688"/>
      <c r="AK24" s="688"/>
      <c r="AL24" s="688"/>
      <c r="AM24" s="688"/>
      <c r="AN24" s="688"/>
      <c r="AO24" s="688"/>
      <c r="AP24" s="688"/>
      <c r="AQ24" s="688"/>
      <c r="AR24" s="688"/>
      <c r="AS24" s="688"/>
      <c r="AT24" s="688"/>
      <c r="AU24" s="688"/>
      <c r="AV24" s="688"/>
      <c r="AW24" s="688"/>
      <c r="AX24" s="688"/>
      <c r="AY24" s="688"/>
      <c r="AZ24" s="688"/>
      <c r="BA24" s="688"/>
      <c r="BB24" s="688"/>
      <c r="BC24" s="688"/>
      <c r="BD24" s="650">
        <f t="shared" si="1"/>
        <v>2.44</v>
      </c>
      <c r="BE24" s="650">
        <f t="shared" si="2"/>
        <v>2.54</v>
      </c>
      <c r="BF24" s="651">
        <f>IF(แหล่งวัสดุ!$H$4=0,BD24,IF(แหล่งวัสดุ!$H$4=1,BE24,IF(แหล่งวัสดุ!$H$4=2,BE24,)))</f>
        <v>2.54</v>
      </c>
      <c r="BI24" s="2791" t="s">
        <v>1961</v>
      </c>
      <c r="BJ24" s="2791"/>
      <c r="BK24" s="2791"/>
      <c r="BL24" s="2791"/>
      <c r="BM24" s="2792" t="s">
        <v>1962</v>
      </c>
      <c r="BN24" s="2793"/>
      <c r="BO24" s="2793"/>
      <c r="BP24"/>
      <c r="BQ24"/>
      <c r="BR24"/>
      <c r="BS24"/>
      <c r="BT24"/>
      <c r="BU24"/>
    </row>
    <row r="25" spans="2:74" ht="21.75">
      <c r="B25" s="646">
        <v>21</v>
      </c>
      <c r="C25" s="652">
        <f>IF($C$2=20.5,'S3'!A25,IF($C$2=21.5,'S3'!B25,IF($C$2=22.5,'S3'!C25,IF($C$2=23.5,'S3'!D25,IF($C$2=24.5,'S3'!E25,IF($C$2=25.5,'S3'!F25,IF($C$2=26.5,'S3'!G25,IF($C$2=27.5,'S3'!H25,IF($C$2=28.5,'S3'!I25,IF($C$2=29.5,'S3'!J25,IF($C$2=30.5,'S3'!K25,IF($C$2=31.5,'S3'!L25))))))))))))</f>
        <v>48.28</v>
      </c>
      <c r="D25" s="652">
        <f t="shared" si="3"/>
        <v>67.59</v>
      </c>
      <c r="E25" s="969">
        <f>IF($E$2=20.5,'S3'!Y25,IF($E$2=21.5,'S3'!Z25,IF($E$2=22.5,'S3'!AA25,IF($E$2=23.5,'S3'!AB25,IF($E$2=24.5,'S3'!AC25,IF($E$2=25.5,'S3'!AD25,IF($E$2=26.5,'S3'!AE25,IF($E$2=27.5,'S3'!AF25,IF($E$2=28.5,'S3'!AG25,IF($E$2=29.5,'S3'!AH25,IF($E$2=30.5,'S3'!AI25,IF($E$2=31.5,'S3'!AJ25))))))))))))</f>
        <v>29.5</v>
      </c>
      <c r="F25" s="652">
        <f t="shared" si="0"/>
        <v>41.3</v>
      </c>
      <c r="H25" s="653" t="s">
        <v>92</v>
      </c>
      <c r="I25" s="682" t="s">
        <v>90</v>
      </c>
      <c r="J25" s="1996"/>
      <c r="K25" s="1996"/>
      <c r="L25" s="1996"/>
      <c r="M25" s="1996"/>
      <c r="N25" s="1996">
        <v>10.96</v>
      </c>
      <c r="O25" s="1996">
        <v>11.48</v>
      </c>
      <c r="P25" s="1996">
        <v>11.13</v>
      </c>
      <c r="Q25" s="1996">
        <v>11.65</v>
      </c>
      <c r="R25" s="1996">
        <v>11.31</v>
      </c>
      <c r="S25" s="1996">
        <v>11.83</v>
      </c>
      <c r="T25" s="1996">
        <v>11.48</v>
      </c>
      <c r="U25" s="1996">
        <v>12</v>
      </c>
      <c r="V25" s="1996"/>
      <c r="W25" s="1996"/>
      <c r="X25" s="1996"/>
      <c r="Y25" s="1996"/>
      <c r="Z25" s="1996"/>
      <c r="AA25" s="1996"/>
      <c r="AB25" s="1996"/>
      <c r="AC25" s="1996"/>
      <c r="AD25" s="1996"/>
      <c r="AE25" s="1996"/>
      <c r="AF25" s="1996"/>
      <c r="AG25" s="1996">
        <v>12.59</v>
      </c>
      <c r="AH25" s="688"/>
      <c r="AI25" s="688"/>
      <c r="AJ25" s="688"/>
      <c r="AK25" s="688"/>
      <c r="AL25" s="688"/>
      <c r="AM25" s="688"/>
      <c r="AN25" s="688"/>
      <c r="AO25" s="688"/>
      <c r="AP25" s="688"/>
      <c r="AQ25" s="688"/>
      <c r="AR25" s="688"/>
      <c r="AS25" s="688"/>
      <c r="AT25" s="688"/>
      <c r="AU25" s="688"/>
      <c r="AV25" s="688"/>
      <c r="AW25" s="688"/>
      <c r="AX25" s="688"/>
      <c r="AY25" s="688"/>
      <c r="AZ25" s="688"/>
      <c r="BA25" s="688"/>
      <c r="BB25" s="688"/>
      <c r="BC25" s="688"/>
      <c r="BD25" s="650">
        <f t="shared" si="1"/>
        <v>11.13</v>
      </c>
      <c r="BE25" s="650">
        <f t="shared" si="2"/>
        <v>11.65</v>
      </c>
      <c r="BF25" s="651">
        <f>IF(แหล่งวัสดุ!$H$4=0,BD25,IF(แหล่งวัสดุ!$H$4=1,BE25,IF(แหล่งวัสดุ!$H$4=2,BE25,)))</f>
        <v>11.65</v>
      </c>
      <c r="BI25" t="s">
        <v>62</v>
      </c>
      <c r="BJ25"/>
      <c r="BK25" s="2046">
        <v>0.15</v>
      </c>
      <c r="BL25"/>
      <c r="BM25" s="2793"/>
      <c r="BN25" s="2793"/>
      <c r="BO25" s="2793"/>
      <c r="BP25"/>
      <c r="BQ25"/>
      <c r="BR25"/>
      <c r="BS25"/>
      <c r="BT25"/>
      <c r="BU25"/>
    </row>
    <row r="26" spans="2:74" ht="21.75">
      <c r="B26" s="646">
        <v>22</v>
      </c>
      <c r="C26" s="652">
        <f>IF($C$2=20.5,'S3'!A26,IF($C$2=21.5,'S3'!B26,IF($C$2=22.5,'S3'!C26,IF($C$2=23.5,'S3'!D26,IF($C$2=24.5,'S3'!E26,IF($C$2=25.5,'S3'!F26,IF($C$2=26.5,'S3'!G26,IF($C$2=27.5,'S3'!H26,IF($C$2=28.5,'S3'!I26,IF($C$2=29.5,'S3'!J26,IF($C$2=30.5,'S3'!K26,IF($C$2=31.5,'S3'!L26))))))))))))</f>
        <v>50.52</v>
      </c>
      <c r="D26" s="652">
        <f t="shared" si="3"/>
        <v>70.73</v>
      </c>
      <c r="E26" s="969">
        <f>IF($E$2=20.5,'S3'!Y26,IF($E$2=21.5,'S3'!Z26,IF($E$2=22.5,'S3'!AA26,IF($E$2=23.5,'S3'!AB26,IF($E$2=24.5,'S3'!AC26,IF($E$2=25.5,'S3'!AD26,IF($E$2=26.5,'S3'!AE26,IF($E$2=27.5,'S3'!AF26,IF($E$2=28.5,'S3'!AG26,IF($E$2=29.5,'S3'!AH26,IF($E$2=30.5,'S3'!AI26,IF($E$2=31.5,'S3'!AJ26))))))))))))</f>
        <v>30.88</v>
      </c>
      <c r="F26" s="652">
        <f t="shared" si="0"/>
        <v>43.23</v>
      </c>
      <c r="H26" s="655" t="s">
        <v>143</v>
      </c>
      <c r="I26" s="656"/>
      <c r="J26" s="2000"/>
      <c r="K26" s="1996"/>
      <c r="L26" s="2000"/>
      <c r="M26" s="1996"/>
      <c r="N26" s="2000"/>
      <c r="O26" s="1996"/>
      <c r="P26" s="1996"/>
      <c r="Q26" s="1996"/>
      <c r="R26" s="2000"/>
      <c r="S26" s="1996"/>
      <c r="T26" s="2000"/>
      <c r="U26" s="1996"/>
      <c r="V26" s="2000"/>
      <c r="W26" s="1996"/>
      <c r="X26" s="2000"/>
      <c r="Y26" s="1996"/>
      <c r="Z26" s="1996"/>
      <c r="AA26" s="1996"/>
      <c r="AB26" s="2000"/>
      <c r="AC26" s="1996"/>
      <c r="AD26" s="1996"/>
      <c r="AE26" s="1996"/>
      <c r="AF26" s="1996"/>
      <c r="AG26" s="1996"/>
      <c r="AH26" s="649"/>
      <c r="AI26" s="649"/>
      <c r="AJ26" s="649"/>
      <c r="AK26" s="649"/>
      <c r="AL26" s="649"/>
      <c r="AM26" s="649"/>
      <c r="AN26" s="649"/>
      <c r="AO26" s="649"/>
      <c r="AP26" s="649"/>
      <c r="AQ26" s="649"/>
      <c r="AR26" s="649"/>
      <c r="AS26" s="649"/>
      <c r="AT26" s="649"/>
      <c r="AU26" s="649"/>
      <c r="AV26" s="649"/>
      <c r="AW26" s="649"/>
      <c r="AX26" s="649"/>
      <c r="AY26" s="649"/>
      <c r="AZ26" s="649"/>
      <c r="BA26" s="649"/>
      <c r="BB26" s="649"/>
      <c r="BC26" s="649"/>
      <c r="BD26" s="650"/>
      <c r="BE26" s="650"/>
      <c r="BF26" s="658"/>
      <c r="BI26" t="s">
        <v>1963</v>
      </c>
      <c r="BJ26"/>
      <c r="BK26" s="2046">
        <v>0</v>
      </c>
      <c r="BL26"/>
      <c r="BM26"/>
      <c r="BN26"/>
      <c r="BO26"/>
      <c r="BP26"/>
      <c r="BQ26"/>
      <c r="BR26"/>
      <c r="BS26"/>
      <c r="BT26"/>
      <c r="BU26"/>
    </row>
    <row r="27" spans="2:74" ht="21.75">
      <c r="B27" s="646">
        <v>23</v>
      </c>
      <c r="C27" s="652">
        <f>IF($C$2=20.5,'S3'!A27,IF($C$2=21.5,'S3'!B27,IF($C$2=22.5,'S3'!C27,IF($C$2=23.5,'S3'!D27,IF($C$2=24.5,'S3'!E27,IF($C$2=25.5,'S3'!F27,IF($C$2=26.5,'S3'!G27,IF($C$2=27.5,'S3'!H27,IF($C$2=28.5,'S3'!I27,IF($C$2=29.5,'S3'!J27,IF($C$2=30.5,'S3'!K27,IF($C$2=31.5,'S3'!L27))))))))))))</f>
        <v>52.75</v>
      </c>
      <c r="D27" s="652">
        <f t="shared" si="3"/>
        <v>73.849999999999994</v>
      </c>
      <c r="E27" s="969">
        <f>IF($E$2=20.5,'S3'!Y27,IF($E$2=21.5,'S3'!Z27,IF($E$2=22.5,'S3'!AA27,IF($E$2=23.5,'S3'!AB27,IF($E$2=24.5,'S3'!AC27,IF($E$2=25.5,'S3'!AD27,IF($E$2=26.5,'S3'!AE27,IF($E$2=27.5,'S3'!AF27,IF($E$2=28.5,'S3'!AG27,IF($E$2=29.5,'S3'!AH27,IF($E$2=30.5,'S3'!AI27,IF($E$2=31.5,'S3'!AJ27))))))))))))</f>
        <v>32.25</v>
      </c>
      <c r="F27" s="652">
        <f t="shared" si="0"/>
        <v>45.15</v>
      </c>
      <c r="H27" s="653" t="s">
        <v>1286</v>
      </c>
      <c r="I27" s="682" t="s">
        <v>90</v>
      </c>
      <c r="J27" s="1996"/>
      <c r="K27" s="1996"/>
      <c r="L27" s="1996"/>
      <c r="M27" s="1996"/>
      <c r="N27" s="1996">
        <v>27.67</v>
      </c>
      <c r="O27" s="1996">
        <v>29.15</v>
      </c>
      <c r="P27" s="1996">
        <v>27.81</v>
      </c>
      <c r="Q27" s="1996">
        <v>29.29</v>
      </c>
      <c r="R27" s="1996">
        <v>27.96</v>
      </c>
      <c r="S27" s="1996">
        <v>29.44</v>
      </c>
      <c r="T27" s="1996">
        <v>28.1</v>
      </c>
      <c r="U27" s="1996">
        <v>29.58</v>
      </c>
      <c r="V27" s="1996"/>
      <c r="W27" s="1996"/>
      <c r="X27" s="1996"/>
      <c r="Y27" s="1996"/>
      <c r="Z27" s="1996"/>
      <c r="AA27" s="1996"/>
      <c r="AB27" s="1996"/>
      <c r="AC27" s="1996"/>
      <c r="AD27" s="1996"/>
      <c r="AE27" s="1996"/>
      <c r="AF27" s="1996"/>
      <c r="AG27" s="1996">
        <v>37.81</v>
      </c>
      <c r="AH27" s="688"/>
      <c r="AI27" s="688"/>
      <c r="AJ27" s="688"/>
      <c r="AK27" s="688"/>
      <c r="AL27" s="688"/>
      <c r="AM27" s="688"/>
      <c r="AN27" s="688"/>
      <c r="AO27" s="688"/>
      <c r="AP27" s="688"/>
      <c r="AQ27" s="688"/>
      <c r="AR27" s="688"/>
      <c r="AS27" s="688"/>
      <c r="AT27" s="688"/>
      <c r="AU27" s="688"/>
      <c r="AV27" s="688"/>
      <c r="AW27" s="688"/>
      <c r="AX27" s="688"/>
      <c r="AY27" s="688"/>
      <c r="AZ27" s="688"/>
      <c r="BA27" s="688"/>
      <c r="BB27" s="688"/>
      <c r="BC27" s="688"/>
      <c r="BD27" s="650">
        <f t="shared" si="1"/>
        <v>27.81</v>
      </c>
      <c r="BE27" s="650">
        <f t="shared" si="2"/>
        <v>29.29</v>
      </c>
      <c r="BF27" s="651">
        <f>IF(แหล่งวัสดุ!$H$4=0,BD27,IF(แหล่งวัสดุ!$H$4=1,BE27,IF(แหล่งวัสดุ!$H$4=2,BE27,)))</f>
        <v>29.29</v>
      </c>
      <c r="BI27" t="s">
        <v>129</v>
      </c>
      <c r="BJ27"/>
      <c r="BK27" s="2046">
        <v>7.0000000000000007E-2</v>
      </c>
      <c r="BL27" t="s">
        <v>1964</v>
      </c>
      <c r="BM27"/>
      <c r="BN27"/>
      <c r="BO27"/>
      <c r="BP27"/>
      <c r="BQ27"/>
      <c r="BR27"/>
      <c r="BS27"/>
      <c r="BT27"/>
      <c r="BU27"/>
    </row>
    <row r="28" spans="2:74" ht="21.75">
      <c r="B28" s="646">
        <v>24</v>
      </c>
      <c r="C28" s="652">
        <f>IF($C$2=20.5,'S3'!A28,IF($C$2=21.5,'S3'!B28,IF($C$2=22.5,'S3'!C28,IF($C$2=23.5,'S3'!D28,IF($C$2=24.5,'S3'!E28,IF($C$2=25.5,'S3'!F28,IF($C$2=26.5,'S3'!G28,IF($C$2=27.5,'S3'!H28,IF($C$2=28.5,'S3'!I28,IF($C$2=29.5,'S3'!J28,IF($C$2=30.5,'S3'!K28,IF($C$2=31.5,'S3'!L28))))))))))))</f>
        <v>55</v>
      </c>
      <c r="D28" s="652">
        <f t="shared" si="3"/>
        <v>77</v>
      </c>
      <c r="E28" s="969">
        <f>IF($E$2=20.5,'S3'!Y28,IF($E$2=21.5,'S3'!Z28,IF($E$2=22.5,'S3'!AA28,IF($E$2=23.5,'S3'!AB28,IF($E$2=24.5,'S3'!AC28,IF($E$2=25.5,'S3'!AD28,IF($E$2=26.5,'S3'!AE28,IF($E$2=27.5,'S3'!AF28,IF($E$2=28.5,'S3'!AG28,IF($E$2=29.5,'S3'!AH28,IF($E$2=30.5,'S3'!AI28,IF($E$2=31.5,'S3'!AJ28))))))))))))</f>
        <v>33.630000000000003</v>
      </c>
      <c r="F28" s="652">
        <f t="shared" si="0"/>
        <v>47.08</v>
      </c>
      <c r="H28" s="653" t="s">
        <v>144</v>
      </c>
      <c r="I28" s="682" t="s">
        <v>90</v>
      </c>
      <c r="J28" s="1996"/>
      <c r="K28" s="1996"/>
      <c r="L28" s="1996"/>
      <c r="M28" s="1996"/>
      <c r="N28" s="1996">
        <v>34.58</v>
      </c>
      <c r="O28" s="1996">
        <v>36.43</v>
      </c>
      <c r="P28" s="1996">
        <v>34.76</v>
      </c>
      <c r="Q28" s="1996">
        <v>36.61</v>
      </c>
      <c r="R28" s="1996">
        <v>34.93</v>
      </c>
      <c r="S28" s="1996">
        <v>36.78</v>
      </c>
      <c r="T28" s="1996">
        <v>35.11</v>
      </c>
      <c r="U28" s="1996">
        <v>36.96</v>
      </c>
      <c r="V28" s="1996"/>
      <c r="W28" s="1996"/>
      <c r="X28" s="1996"/>
      <c r="Y28" s="1996"/>
      <c r="Z28" s="1996"/>
      <c r="AA28" s="1996"/>
      <c r="AB28" s="1996"/>
      <c r="AC28" s="1996"/>
      <c r="AD28" s="1996"/>
      <c r="AE28" s="1996"/>
      <c r="AF28" s="1996"/>
      <c r="AG28" s="1996">
        <v>47.27</v>
      </c>
      <c r="AH28" s="688"/>
      <c r="AI28" s="688"/>
      <c r="AJ28" s="688"/>
      <c r="AK28" s="688"/>
      <c r="AL28" s="688"/>
      <c r="AM28" s="688"/>
      <c r="AN28" s="688"/>
      <c r="AO28" s="688"/>
      <c r="AP28" s="688"/>
      <c r="AQ28" s="688"/>
      <c r="AR28" s="688"/>
      <c r="AS28" s="688"/>
      <c r="AT28" s="688"/>
      <c r="AU28" s="688"/>
      <c r="AV28" s="688"/>
      <c r="AW28" s="688"/>
      <c r="AX28" s="688"/>
      <c r="AY28" s="688"/>
      <c r="AZ28" s="688"/>
      <c r="BA28" s="688"/>
      <c r="BB28" s="688"/>
      <c r="BC28" s="688"/>
      <c r="BD28" s="650">
        <f t="shared" si="1"/>
        <v>34.76</v>
      </c>
      <c r="BE28" s="650">
        <f t="shared" si="2"/>
        <v>36.61</v>
      </c>
      <c r="BF28" s="651">
        <f>IF(แหล่งวัสดุ!$H$4=0,BD28,IF(แหล่งวัสดุ!$H$4=1,BE28,IF(แหล่งวัสดุ!$H$4=2,BE28,)))</f>
        <v>36.61</v>
      </c>
      <c r="BI28" t="s">
        <v>1965</v>
      </c>
      <c r="BJ28"/>
      <c r="BK28" s="2047">
        <v>7.0000000000000007E-2</v>
      </c>
      <c r="BL28"/>
      <c r="BM28"/>
      <c r="BN28"/>
      <c r="BO28"/>
      <c r="BP28"/>
      <c r="BQ28"/>
      <c r="BR28"/>
      <c r="BS28"/>
      <c r="BT28"/>
      <c r="BU28"/>
    </row>
    <row r="29" spans="2:74" ht="21.75">
      <c r="B29" s="646">
        <v>25</v>
      </c>
      <c r="C29" s="652">
        <f>IF($C$2=20.5,'S3'!A29,IF($C$2=21.5,'S3'!B29,IF($C$2=22.5,'S3'!C29,IF($C$2=23.5,'S3'!D29,IF($C$2=24.5,'S3'!E29,IF($C$2=25.5,'S3'!F29,IF($C$2=26.5,'S3'!G29,IF($C$2=27.5,'S3'!H29,IF($C$2=28.5,'S3'!I29,IF($C$2=29.5,'S3'!J29,IF($C$2=30.5,'S3'!K29,IF($C$2=31.5,'S3'!L29))))))))))))</f>
        <v>57.24</v>
      </c>
      <c r="D29" s="652">
        <f t="shared" si="3"/>
        <v>80.14</v>
      </c>
      <c r="E29" s="969">
        <f>IF($E$2=20.5,'S3'!Y29,IF($E$2=21.5,'S3'!Z29,IF($E$2=22.5,'S3'!AA29,IF($E$2=23.5,'S3'!AB29,IF($E$2=24.5,'S3'!AC29,IF($E$2=25.5,'S3'!AD29,IF($E$2=26.5,'S3'!AE29,IF($E$2=27.5,'S3'!AF29,IF($E$2=28.5,'S3'!AG29,IF($E$2=29.5,'S3'!AH29,IF($E$2=30.5,'S3'!AI29,IF($E$2=31.5,'S3'!AJ29))))))))))))</f>
        <v>35</v>
      </c>
      <c r="F29" s="652">
        <f t="shared" si="0"/>
        <v>49</v>
      </c>
      <c r="H29" s="655" t="s">
        <v>1275</v>
      </c>
      <c r="I29" s="653"/>
      <c r="J29" s="1997"/>
      <c r="K29" s="1997"/>
      <c r="L29" s="1997"/>
      <c r="M29" s="1997"/>
      <c r="N29" s="1997"/>
      <c r="O29" s="1997"/>
      <c r="P29" s="1997"/>
      <c r="Q29" s="1997"/>
      <c r="R29" s="1997"/>
      <c r="S29" s="1997"/>
      <c r="T29" s="1997"/>
      <c r="U29" s="1997"/>
      <c r="V29" s="1997"/>
      <c r="W29" s="1997"/>
      <c r="X29" s="1997"/>
      <c r="Y29" s="1997"/>
      <c r="Z29" s="1997"/>
      <c r="AA29" s="1997"/>
      <c r="AB29" s="1997"/>
      <c r="AC29" s="1997"/>
      <c r="AD29" s="1997"/>
      <c r="AE29" s="1997"/>
      <c r="AF29" s="1997"/>
      <c r="AG29" s="1997"/>
      <c r="AH29" s="708"/>
      <c r="AI29" s="708"/>
      <c r="AJ29" s="708"/>
      <c r="AK29" s="708"/>
      <c r="AL29" s="708"/>
      <c r="AM29" s="708"/>
      <c r="AN29" s="708"/>
      <c r="AO29" s="708"/>
      <c r="AP29" s="708"/>
      <c r="AQ29" s="708"/>
      <c r="AR29" s="708"/>
      <c r="AS29" s="708"/>
      <c r="AT29" s="708"/>
      <c r="AU29" s="708"/>
      <c r="AV29" s="708"/>
      <c r="AW29" s="708"/>
      <c r="AX29" s="708"/>
      <c r="AY29" s="708"/>
      <c r="AZ29" s="708"/>
      <c r="BA29" s="708"/>
      <c r="BB29" s="708"/>
      <c r="BC29" s="708"/>
      <c r="BD29" s="650"/>
      <c r="BE29" s="650"/>
      <c r="BF29" s="658"/>
      <c r="BI29" s="2048" t="s">
        <v>1966</v>
      </c>
      <c r="BJ29" s="2794" t="s">
        <v>1967</v>
      </c>
      <c r="BK29" s="2797">
        <v>1000000</v>
      </c>
      <c r="BL29"/>
      <c r="BM29"/>
      <c r="BN29"/>
      <c r="BO29"/>
      <c r="BP29"/>
      <c r="BQ29"/>
      <c r="BR29"/>
      <c r="BS29"/>
      <c r="BT29"/>
      <c r="BU29"/>
    </row>
    <row r="30" spans="2:74" ht="21.75">
      <c r="B30" s="646">
        <v>26</v>
      </c>
      <c r="C30" s="652">
        <f>IF($C$2=20.5,'S3'!A30,IF($C$2=21.5,'S3'!B30,IF($C$2=22.5,'S3'!C30,IF($C$2=23.5,'S3'!D30,IF($C$2=24.5,'S3'!E30,IF($C$2=25.5,'S3'!F30,IF($C$2=26.5,'S3'!G30,IF($C$2=27.5,'S3'!H30,IF($C$2=28.5,'S3'!I30,IF($C$2=29.5,'S3'!J30,IF($C$2=30.5,'S3'!K30,IF($C$2=31.5,'S3'!L30))))))))))))</f>
        <v>59.48</v>
      </c>
      <c r="D30" s="652">
        <f t="shared" si="3"/>
        <v>83.27</v>
      </c>
      <c r="E30" s="969">
        <f>IF($E$2=20.5,'S3'!Y30,IF($E$2=21.5,'S3'!Z30,IF($E$2=22.5,'S3'!AA30,IF($E$2=23.5,'S3'!AB30,IF($E$2=24.5,'S3'!AC30,IF($E$2=25.5,'S3'!AD30,IF($E$2=26.5,'S3'!AE30,IF($E$2=27.5,'S3'!AF30,IF($E$2=28.5,'S3'!AG30,IF($E$2=29.5,'S3'!AH30,IF($E$2=30.5,'S3'!AI30,IF($E$2=31.5,'S3'!AJ30))))))))))))</f>
        <v>36.380000000000003</v>
      </c>
      <c r="F30" s="652">
        <f t="shared" si="0"/>
        <v>50.93</v>
      </c>
      <c r="H30" s="709" t="s">
        <v>146</v>
      </c>
      <c r="I30" s="682" t="s">
        <v>90</v>
      </c>
      <c r="J30" s="1997"/>
      <c r="K30" s="1997"/>
      <c r="L30" s="1997"/>
      <c r="M30" s="1997"/>
      <c r="N30" s="1997">
        <v>3.41</v>
      </c>
      <c r="O30" s="1997">
        <v>3.55</v>
      </c>
      <c r="P30" s="1997">
        <v>3.44</v>
      </c>
      <c r="Q30" s="1997">
        <v>3.58</v>
      </c>
      <c r="R30" s="1997">
        <v>3.47</v>
      </c>
      <c r="S30" s="1997">
        <v>3.61</v>
      </c>
      <c r="T30" s="1997">
        <v>3.5</v>
      </c>
      <c r="U30" s="1997">
        <v>3.64</v>
      </c>
      <c r="V30" s="1997"/>
      <c r="W30" s="1997"/>
      <c r="X30" s="1997"/>
      <c r="Y30" s="1997"/>
      <c r="Z30" s="1997"/>
      <c r="AA30" s="1997"/>
      <c r="AB30" s="1997"/>
      <c r="AC30" s="1997"/>
      <c r="AD30" s="1997"/>
      <c r="AE30" s="1997"/>
      <c r="AF30" s="1997"/>
      <c r="AG30" s="1997">
        <v>3.46</v>
      </c>
      <c r="AH30" s="711"/>
      <c r="AI30" s="711"/>
      <c r="AJ30" s="711"/>
      <c r="AK30" s="711"/>
      <c r="AL30" s="711"/>
      <c r="AM30" s="711"/>
      <c r="AN30" s="711"/>
      <c r="AO30" s="711"/>
      <c r="AP30" s="711"/>
      <c r="AQ30" s="711"/>
      <c r="AR30" s="711"/>
      <c r="AS30" s="711"/>
      <c r="AT30" s="711"/>
      <c r="AU30" s="711"/>
      <c r="AV30" s="711"/>
      <c r="AW30" s="711"/>
      <c r="AX30" s="711"/>
      <c r="AY30" s="711"/>
      <c r="AZ30" s="711"/>
      <c r="BA30" s="711"/>
      <c r="BB30" s="711"/>
      <c r="BC30" s="711"/>
      <c r="BD30" s="650">
        <f t="shared" si="1"/>
        <v>3.44</v>
      </c>
      <c r="BE30" s="650">
        <f t="shared" si="2"/>
        <v>3.58</v>
      </c>
      <c r="BF30" s="651">
        <f>IF(แหล่งวัสดุ!$H$4=0,BD30,IF(แหล่งวัสดุ!$H$4=1,BE30,IF(แหล่งวัสดุ!$H$4=2,BE30,)))</f>
        <v>3.58</v>
      </c>
      <c r="BI30" s="2049" t="s">
        <v>1968</v>
      </c>
      <c r="BJ30" s="2795"/>
      <c r="BK30" s="2798"/>
      <c r="BL30"/>
      <c r="BM30"/>
      <c r="BN30"/>
      <c r="BO30"/>
      <c r="BP30"/>
      <c r="BQ30"/>
      <c r="BR30"/>
      <c r="BS30"/>
      <c r="BT30"/>
      <c r="BU30"/>
    </row>
    <row r="31" spans="2:74" ht="21.75">
      <c r="B31" s="646">
        <v>27</v>
      </c>
      <c r="C31" s="652">
        <f>IF($C$2=20.5,'S3'!A31,IF($C$2=21.5,'S3'!B31,IF($C$2=22.5,'S3'!C31,IF($C$2=23.5,'S3'!D31,IF($C$2=24.5,'S3'!E31,IF($C$2=25.5,'S3'!F31,IF($C$2=26.5,'S3'!G31,IF($C$2=27.5,'S3'!H31,IF($C$2=28.5,'S3'!I31,IF($C$2=29.5,'S3'!J31,IF($C$2=30.5,'S3'!K31,IF($C$2=31.5,'S3'!L31))))))))))))</f>
        <v>61.72</v>
      </c>
      <c r="D31" s="652">
        <f t="shared" si="3"/>
        <v>86.41</v>
      </c>
      <c r="E31" s="969">
        <f>IF($E$2=20.5,'S3'!Y31,IF($E$2=21.5,'S3'!Z31,IF($E$2=22.5,'S3'!AA31,IF($E$2=23.5,'S3'!AB31,IF($E$2=24.5,'S3'!AC31,IF($E$2=25.5,'S3'!AD31,IF($E$2=26.5,'S3'!AE31,IF($E$2=27.5,'S3'!AF31,IF($E$2=28.5,'S3'!AG31,IF($E$2=29.5,'S3'!AH31,IF($E$2=30.5,'S3'!AI31,IF($E$2=31.5,'S3'!AJ31))))))))))))</f>
        <v>37.75</v>
      </c>
      <c r="F31" s="652">
        <f t="shared" si="0"/>
        <v>52.85</v>
      </c>
      <c r="H31" s="713" t="s">
        <v>147</v>
      </c>
      <c r="I31" s="648" t="s">
        <v>76</v>
      </c>
      <c r="J31" s="1997"/>
      <c r="K31" s="1997"/>
      <c r="L31" s="1997"/>
      <c r="M31" s="1997"/>
      <c r="N31" s="1997">
        <v>7.47</v>
      </c>
      <c r="O31" s="1997">
        <v>7.89</v>
      </c>
      <c r="P31" s="1997">
        <v>7.55</v>
      </c>
      <c r="Q31" s="1997">
        <v>7.97</v>
      </c>
      <c r="R31" s="1997">
        <v>7.63</v>
      </c>
      <c r="S31" s="1997">
        <v>8.0500000000000007</v>
      </c>
      <c r="T31" s="1997">
        <v>7.7</v>
      </c>
      <c r="U31" s="1997">
        <v>8.1199999999999992</v>
      </c>
      <c r="V31" s="1997"/>
      <c r="W31" s="1997"/>
      <c r="X31" s="1997"/>
      <c r="Y31" s="1997"/>
      <c r="Z31" s="1997"/>
      <c r="AA31" s="1997"/>
      <c r="AB31" s="1997"/>
      <c r="AC31" s="1997"/>
      <c r="AD31" s="1997"/>
      <c r="AE31" s="1997"/>
      <c r="AF31" s="1997"/>
      <c r="AG31" s="1997">
        <v>7.58</v>
      </c>
      <c r="AH31" s="711"/>
      <c r="AI31" s="711"/>
      <c r="AJ31" s="711"/>
      <c r="AK31" s="711"/>
      <c r="AL31" s="711"/>
      <c r="AM31" s="711"/>
      <c r="AN31" s="711"/>
      <c r="AO31" s="711"/>
      <c r="AP31" s="711"/>
      <c r="AQ31" s="711"/>
      <c r="AR31" s="711"/>
      <c r="AS31" s="711"/>
      <c r="AT31" s="711"/>
      <c r="AU31" s="711"/>
      <c r="AV31" s="711"/>
      <c r="AW31" s="711"/>
      <c r="AX31" s="711"/>
      <c r="AY31" s="711"/>
      <c r="AZ31" s="711"/>
      <c r="BA31" s="711"/>
      <c r="BB31" s="711"/>
      <c r="BC31" s="711"/>
      <c r="BD31" s="650">
        <f t="shared" si="1"/>
        <v>7.55</v>
      </c>
      <c r="BE31" s="650">
        <f t="shared" si="2"/>
        <v>7.97</v>
      </c>
      <c r="BF31" s="651">
        <f>IF(แหล่งวัสดุ!$H$4=0,BD31,IF(แหล่งวัสดุ!$H$4=1,BE31,IF(แหล่งวัสดุ!$H$4=2,BE31,)))</f>
        <v>7.97</v>
      </c>
      <c r="BI31" s="2050" t="s">
        <v>107</v>
      </c>
      <c r="BJ31" s="2796"/>
      <c r="BK31" s="2799"/>
      <c r="BL31"/>
      <c r="BM31"/>
      <c r="BN31"/>
      <c r="BO31"/>
      <c r="BP31"/>
      <c r="BQ31"/>
      <c r="BR31"/>
      <c r="BS31"/>
      <c r="BT31"/>
      <c r="BU31"/>
    </row>
    <row r="32" spans="2:74" ht="21.75">
      <c r="B32" s="646">
        <v>28</v>
      </c>
      <c r="C32" s="652">
        <f>IF($C$2=20.5,'S3'!A32,IF($C$2=21.5,'S3'!B32,IF($C$2=22.5,'S3'!C32,IF($C$2=23.5,'S3'!D32,IF($C$2=24.5,'S3'!E32,IF($C$2=25.5,'S3'!F32,IF($C$2=26.5,'S3'!G32,IF($C$2=27.5,'S3'!H32,IF($C$2=28.5,'S3'!I32,IF($C$2=29.5,'S3'!J32,IF($C$2=30.5,'S3'!K32,IF($C$2=31.5,'S3'!L32))))))))))))</f>
        <v>63.96</v>
      </c>
      <c r="D32" s="652">
        <f t="shared" si="3"/>
        <v>89.54</v>
      </c>
      <c r="E32" s="969">
        <f>IF($E$2=20.5,'S3'!Y32,IF($E$2=21.5,'S3'!Z32,IF($E$2=22.5,'S3'!AA32,IF($E$2=23.5,'S3'!AB32,IF($E$2=24.5,'S3'!AC32,IF($E$2=25.5,'S3'!AD32,IF($E$2=26.5,'S3'!AE32,IF($E$2=27.5,'S3'!AF32,IF($E$2=28.5,'S3'!AG32,IF($E$2=29.5,'S3'!AH32,IF($E$2=30.5,'S3'!AI32,IF($E$2=31.5,'S3'!AJ32))))))))))))</f>
        <v>39.130000000000003</v>
      </c>
      <c r="F32" s="652">
        <f t="shared" si="0"/>
        <v>54.78</v>
      </c>
      <c r="H32" s="713" t="s">
        <v>166</v>
      </c>
      <c r="I32" s="709"/>
      <c r="J32" s="1997"/>
      <c r="K32" s="1997"/>
      <c r="L32" s="1997"/>
      <c r="M32" s="1997"/>
      <c r="N32" s="1997"/>
      <c r="O32" s="1997"/>
      <c r="P32" s="1997"/>
      <c r="Q32" s="1997"/>
      <c r="R32" s="1997"/>
      <c r="S32" s="1997"/>
      <c r="T32" s="1997"/>
      <c r="U32" s="1997"/>
      <c r="V32" s="1997"/>
      <c r="W32" s="1997"/>
      <c r="X32" s="1997"/>
      <c r="Y32" s="1997"/>
      <c r="Z32" s="1997"/>
      <c r="AA32" s="1997"/>
      <c r="AB32" s="1997"/>
      <c r="AC32" s="1997"/>
      <c r="AD32" s="1997"/>
      <c r="AE32" s="1997"/>
      <c r="AF32" s="1997"/>
      <c r="AG32" s="1997"/>
      <c r="AH32" s="711"/>
      <c r="AI32" s="711"/>
      <c r="AJ32" s="711"/>
      <c r="AK32" s="711"/>
      <c r="AL32" s="711"/>
      <c r="AM32" s="711"/>
      <c r="AN32" s="711"/>
      <c r="AO32" s="711"/>
      <c r="AP32" s="711"/>
      <c r="AQ32" s="711"/>
      <c r="AR32" s="711"/>
      <c r="AS32" s="711"/>
      <c r="AT32" s="711"/>
      <c r="AU32" s="711"/>
      <c r="AV32" s="711"/>
      <c r="AW32" s="711"/>
      <c r="AX32" s="711"/>
      <c r="AY32" s="711"/>
      <c r="AZ32" s="711"/>
      <c r="BA32" s="711"/>
      <c r="BB32" s="711"/>
      <c r="BC32" s="711"/>
      <c r="BD32" s="650">
        <f t="shared" si="1"/>
        <v>0</v>
      </c>
      <c r="BE32" s="650">
        <f t="shared" si="2"/>
        <v>0</v>
      </c>
      <c r="BF32" s="709"/>
      <c r="BI32" s="1363">
        <v>5</v>
      </c>
      <c r="BJ32" s="2051">
        <v>1.2466999999999999</v>
      </c>
      <c r="BK32" s="2052">
        <f>BI32*$BK$29</f>
        <v>5000000</v>
      </c>
      <c r="BL32"/>
      <c r="BM32"/>
      <c r="BN32"/>
      <c r="BO32"/>
      <c r="BP32" s="2053">
        <f>BJ32</f>
        <v>1.2466999999999999</v>
      </c>
      <c r="BQ32" s="2053">
        <f>ROUND(IF($BK$37&lt;BK32,BP32,BQ33),4)</f>
        <v>1.2436</v>
      </c>
      <c r="BR32"/>
      <c r="BS32"/>
      <c r="BT32" s="2054">
        <f>SUM(BK33-BK32)</f>
        <v>5000000</v>
      </c>
      <c r="BU32">
        <f>SUM(BJ32-BJ33)</f>
        <v>2.5899999999999812E-2</v>
      </c>
    </row>
    <row r="33" spans="2:73" ht="21.75">
      <c r="B33" s="646">
        <v>29</v>
      </c>
      <c r="C33" s="652">
        <f>IF($C$2=20.5,'S3'!A33,IF($C$2=21.5,'S3'!B33,IF($C$2=22.5,'S3'!C33,IF($C$2=23.5,'S3'!D33,IF($C$2=24.5,'S3'!E33,IF($C$2=25.5,'S3'!F33,IF($C$2=26.5,'S3'!G33,IF($C$2=27.5,'S3'!H33,IF($C$2=28.5,'S3'!I33,IF($C$2=29.5,'S3'!J33,IF($C$2=30.5,'S3'!K33,IF($C$2=31.5,'S3'!L33))))))))))))</f>
        <v>66.180000000000007</v>
      </c>
      <c r="D33" s="652">
        <f t="shared" si="3"/>
        <v>92.65</v>
      </c>
      <c r="E33" s="969">
        <f>IF($E$2=20.5,'S3'!Y33,IF($E$2=21.5,'S3'!Z33,IF($E$2=22.5,'S3'!AA33,IF($E$2=23.5,'S3'!AB33,IF($E$2=24.5,'S3'!AC33,IF($E$2=25.5,'S3'!AD33,IF($E$2=26.5,'S3'!AE33,IF($E$2=27.5,'S3'!AF33,IF($E$2=28.5,'S3'!AG33,IF($E$2=29.5,'S3'!AH33,IF($E$2=30.5,'S3'!AI33,IF($E$2=31.5,'S3'!AJ33))))))))))))</f>
        <v>40.5</v>
      </c>
      <c r="F33" s="652">
        <f t="shared" si="0"/>
        <v>56.7</v>
      </c>
      <c r="H33" s="709" t="s">
        <v>167</v>
      </c>
      <c r="I33" s="714" t="s">
        <v>168</v>
      </c>
      <c r="J33" s="1997"/>
      <c r="K33" s="1997"/>
      <c r="L33" s="1997"/>
      <c r="M33" s="1997"/>
      <c r="N33" s="1997">
        <v>19.96</v>
      </c>
      <c r="O33" s="1997">
        <v>20.73</v>
      </c>
      <c r="P33" s="1997">
        <v>20.149999999999999</v>
      </c>
      <c r="Q33" s="1997">
        <v>20.92</v>
      </c>
      <c r="R33" s="1997">
        <v>20.34</v>
      </c>
      <c r="S33" s="1997">
        <v>21.11</v>
      </c>
      <c r="T33" s="1997">
        <v>20.53</v>
      </c>
      <c r="U33" s="1997">
        <v>21.3</v>
      </c>
      <c r="V33" s="1997"/>
      <c r="W33" s="1997"/>
      <c r="X33" s="1997"/>
      <c r="Y33" s="1997"/>
      <c r="Z33" s="1997"/>
      <c r="AA33" s="1997"/>
      <c r="AB33" s="1997"/>
      <c r="AC33" s="1997"/>
      <c r="AD33" s="1997"/>
      <c r="AE33" s="1997"/>
      <c r="AF33" s="1997"/>
      <c r="AG33" s="1997">
        <v>21.7</v>
      </c>
      <c r="AH33" s="711"/>
      <c r="AI33" s="711"/>
      <c r="AJ33" s="711"/>
      <c r="AK33" s="711"/>
      <c r="AL33" s="711"/>
      <c r="AM33" s="711"/>
      <c r="AN33" s="711"/>
      <c r="AO33" s="711"/>
      <c r="AP33" s="711"/>
      <c r="AQ33" s="711"/>
      <c r="AR33" s="712"/>
      <c r="AS33" s="711"/>
      <c r="AT33" s="711"/>
      <c r="AU33" s="711"/>
      <c r="AV33" s="711"/>
      <c r="AW33" s="711"/>
      <c r="AX33" s="711"/>
      <c r="AY33" s="711"/>
      <c r="AZ33" s="711"/>
      <c r="BA33" s="711"/>
      <c r="BB33" s="711"/>
      <c r="BC33" s="711"/>
      <c r="BD33" s="650">
        <f t="shared" si="1"/>
        <v>20.149999999999999</v>
      </c>
      <c r="BE33" s="650">
        <f t="shared" si="2"/>
        <v>20.92</v>
      </c>
      <c r="BF33" s="651">
        <f>IF(แหล่งวัสดุ!$H$4=0,BD33,IF(แหล่งวัสดุ!$H$4=1,BE33,IF(แหล่งวัสดุ!$H$4=2,BE33,)))</f>
        <v>20.92</v>
      </c>
      <c r="BI33" s="1363">
        <v>10</v>
      </c>
      <c r="BJ33" s="2051">
        <v>1.2208000000000001</v>
      </c>
      <c r="BK33" s="2052">
        <f t="shared" ref="BK33:BK36" si="6">BI33*$BK$29</f>
        <v>10000000</v>
      </c>
      <c r="BL33" s="2054">
        <f>BK33-BK32</f>
        <v>5000000</v>
      </c>
      <c r="BM33">
        <f>BJ33-BJ32</f>
        <v>-2.5899999999999812E-2</v>
      </c>
      <c r="BN33" s="2054">
        <f>$BK$37-BK32</f>
        <v>600140.19000000041</v>
      </c>
      <c r="BO33">
        <f>BM33/BL33*BN33</f>
        <v>-3.1087261841999795E-3</v>
      </c>
      <c r="BP33" s="2055">
        <f>BP32+BO33</f>
        <v>1.2435912738157999</v>
      </c>
      <c r="BQ33" s="2053">
        <f>ROUND(IF($BK$37&gt;BK32,IF($C$14&lt;BK33,BP33,BQ34),0),4)</f>
        <v>1.2436</v>
      </c>
      <c r="BR33"/>
      <c r="BS33"/>
      <c r="BT33"/>
      <c r="BU33"/>
    </row>
    <row r="34" spans="2:73" ht="21.75">
      <c r="B34" s="646">
        <v>30</v>
      </c>
      <c r="C34" s="652">
        <f>IF($C$2=20.5,'S3'!A34,IF($C$2=21.5,'S3'!B34,IF($C$2=22.5,'S3'!C34,IF($C$2=23.5,'S3'!D34,IF($C$2=24.5,'S3'!E34,IF($C$2=25.5,'S3'!F34,IF($C$2=26.5,'S3'!G34,IF($C$2=27.5,'S3'!H34,IF($C$2=28.5,'S3'!I34,IF($C$2=29.5,'S3'!J34,IF($C$2=30.5,'S3'!K34,IF($C$2=31.5,'S3'!L34))))))))))))</f>
        <v>68.430000000000007</v>
      </c>
      <c r="D34" s="652">
        <f t="shared" si="3"/>
        <v>95.8</v>
      </c>
      <c r="E34" s="969">
        <f>IF($E$2=20.5,'S3'!Y34,IF($E$2=21.5,'S3'!Z34,IF($E$2=22.5,'S3'!AA34,IF($E$2=23.5,'S3'!AB34,IF($E$2=24.5,'S3'!AC34,IF($E$2=25.5,'S3'!AD34,IF($E$2=26.5,'S3'!AE34,IF($E$2=27.5,'S3'!AF34,IF($E$2=28.5,'S3'!AG34,IF($E$2=29.5,'S3'!AH34,IF($E$2=30.5,'S3'!AI34,IF($E$2=31.5,'S3'!AJ34))))))))))))</f>
        <v>41.88</v>
      </c>
      <c r="F34" s="652">
        <f t="shared" si="0"/>
        <v>58.63</v>
      </c>
      <c r="H34" s="713" t="s">
        <v>169</v>
      </c>
      <c r="I34" s="709"/>
      <c r="J34" s="1997"/>
      <c r="K34" s="1997"/>
      <c r="L34" s="1997"/>
      <c r="M34" s="1997"/>
      <c r="N34" s="1997"/>
      <c r="O34" s="1997"/>
      <c r="P34" s="1997"/>
      <c r="Q34" s="1997"/>
      <c r="R34" s="1997"/>
      <c r="S34" s="1997"/>
      <c r="T34" s="1997"/>
      <c r="U34" s="1997"/>
      <c r="V34" s="1997"/>
      <c r="W34" s="1997"/>
      <c r="X34" s="1997"/>
      <c r="Y34" s="1997"/>
      <c r="Z34" s="1997"/>
      <c r="AA34" s="1997"/>
      <c r="AB34" s="1997"/>
      <c r="AC34" s="1997"/>
      <c r="AD34" s="1997"/>
      <c r="AE34" s="1997"/>
      <c r="AF34" s="1997"/>
      <c r="AG34" s="1997"/>
      <c r="AH34" s="711"/>
      <c r="AI34" s="711"/>
      <c r="AJ34" s="711"/>
      <c r="AK34" s="711"/>
      <c r="AL34" s="711"/>
      <c r="AM34" s="711"/>
      <c r="AN34" s="711"/>
      <c r="AO34" s="711"/>
      <c r="AP34" s="711"/>
      <c r="AQ34" s="711"/>
      <c r="AR34" s="711"/>
      <c r="AS34" s="711"/>
      <c r="AT34" s="711"/>
      <c r="AU34" s="711"/>
      <c r="AV34" s="711"/>
      <c r="AW34" s="711"/>
      <c r="AX34" s="711"/>
      <c r="AY34" s="711"/>
      <c r="AZ34" s="711"/>
      <c r="BA34" s="711"/>
      <c r="BB34" s="711"/>
      <c r="BC34" s="711"/>
      <c r="BD34" s="650"/>
      <c r="BE34" s="650"/>
      <c r="BF34" s="709"/>
      <c r="BI34" s="1363">
        <v>15</v>
      </c>
      <c r="BJ34" s="2051">
        <v>1.2178</v>
      </c>
      <c r="BK34" s="2052">
        <f t="shared" si="6"/>
        <v>15000000</v>
      </c>
      <c r="BL34" s="2054">
        <f>BK34-BK33</f>
        <v>5000000</v>
      </c>
      <c r="BM34">
        <f>BJ34-BJ33</f>
        <v>-3.0000000000001137E-3</v>
      </c>
      <c r="BN34" s="2054">
        <f t="shared" ref="BN34:BN36" si="7">$BK$37-BK33</f>
        <v>-4399859.8099999996</v>
      </c>
      <c r="BO34">
        <f>BM34/BL34*BN34</f>
        <v>2.6399158860000997E-3</v>
      </c>
      <c r="BP34" s="2055">
        <f>BJ33+BO34</f>
        <v>1.2234399158860003</v>
      </c>
      <c r="BQ34" s="2053">
        <f t="shared" ref="BQ34:BQ36" si="8">ROUND(IF($BK$37&gt;BK33,IF($C$14&lt;BK34,BP34,BQ35),0),4)</f>
        <v>0</v>
      </c>
      <c r="BR34"/>
      <c r="BS34"/>
      <c r="BT34"/>
      <c r="BU34"/>
    </row>
    <row r="35" spans="2:73" ht="21.75">
      <c r="B35" s="646">
        <v>31</v>
      </c>
      <c r="C35" s="652">
        <f>IF($C$2=20.5,'S3'!A35,IF($C$2=21.5,'S3'!B35,IF($C$2=22.5,'S3'!C35,IF($C$2=23.5,'S3'!D35,IF($C$2=24.5,'S3'!E35,IF($C$2=25.5,'S3'!F35,IF($C$2=26.5,'S3'!G35,IF($C$2=27.5,'S3'!H35,IF($C$2=28.5,'S3'!I35,IF($C$2=29.5,'S3'!J35,IF($C$2=30.5,'S3'!K35,IF($C$2=31.5,'S3'!L35))))))))))))</f>
        <v>70.66</v>
      </c>
      <c r="D35" s="652">
        <f t="shared" si="3"/>
        <v>98.92</v>
      </c>
      <c r="E35" s="969">
        <f>IF($E$2=20.5,'S3'!Y35,IF($E$2=21.5,'S3'!Z35,IF($E$2=22.5,'S3'!AA35,IF($E$2=23.5,'S3'!AB35,IF($E$2=24.5,'S3'!AC35,IF($E$2=25.5,'S3'!AD35,IF($E$2=26.5,'S3'!AE35,IF($E$2=27.5,'S3'!AF35,IF($E$2=28.5,'S3'!AG35,IF($E$2=29.5,'S3'!AH35,IF($E$2=30.5,'S3'!AI35,IF($E$2=31.5,'S3'!AJ35))))))))))))</f>
        <v>43.25</v>
      </c>
      <c r="F35" s="652">
        <f t="shared" si="0"/>
        <v>60.55</v>
      </c>
      <c r="H35" s="709" t="s">
        <v>170</v>
      </c>
      <c r="I35" s="648" t="s">
        <v>74</v>
      </c>
      <c r="J35" s="1997"/>
      <c r="K35" s="1997"/>
      <c r="L35" s="1997"/>
      <c r="M35" s="1997"/>
      <c r="N35" s="1997">
        <v>20.04</v>
      </c>
      <c r="O35" s="1997">
        <v>20.92</v>
      </c>
      <c r="P35" s="1997">
        <v>20.260000000000002</v>
      </c>
      <c r="Q35" s="1997">
        <v>21.14</v>
      </c>
      <c r="R35" s="1997">
        <v>20.47</v>
      </c>
      <c r="S35" s="1997">
        <v>21.35</v>
      </c>
      <c r="T35" s="1997">
        <v>20.69</v>
      </c>
      <c r="U35" s="1997">
        <v>21.57</v>
      </c>
      <c r="V35" s="1997"/>
      <c r="W35" s="1997"/>
      <c r="X35" s="1997"/>
      <c r="Y35" s="1997"/>
      <c r="Z35" s="1997"/>
      <c r="AA35" s="1997"/>
      <c r="AB35" s="1997"/>
      <c r="AC35" s="1997"/>
      <c r="AD35" s="1997"/>
      <c r="AE35" s="1997"/>
      <c r="AF35" s="1997"/>
      <c r="AG35" s="1997">
        <v>22.75</v>
      </c>
      <c r="AH35" s="711"/>
      <c r="AI35" s="711"/>
      <c r="AJ35" s="711"/>
      <c r="AK35" s="711"/>
      <c r="AL35" s="711"/>
      <c r="AM35" s="711"/>
      <c r="AN35" s="711"/>
      <c r="AO35" s="711"/>
      <c r="AP35" s="711"/>
      <c r="AQ35" s="712"/>
      <c r="AR35" s="711"/>
      <c r="AS35" s="712"/>
      <c r="AT35" s="712"/>
      <c r="AU35" s="712"/>
      <c r="AV35" s="712"/>
      <c r="AW35" s="712"/>
      <c r="AX35" s="712"/>
      <c r="AY35" s="712"/>
      <c r="AZ35" s="712"/>
      <c r="BA35" s="712"/>
      <c r="BB35" s="712"/>
      <c r="BC35" s="712"/>
      <c r="BD35" s="650">
        <f t="shared" si="1"/>
        <v>20.260000000000002</v>
      </c>
      <c r="BE35" s="650">
        <f t="shared" si="2"/>
        <v>21.14</v>
      </c>
      <c r="BF35" s="651">
        <f>IF(แหล่งวัสดุ!$H$4=0,BD35,IF(แหล่งวัสดุ!$H$4=1,BE35,IF(แหล่งวัสดุ!$H$4=2,BE35,)))</f>
        <v>21.14</v>
      </c>
      <c r="BI35" s="1363">
        <v>20</v>
      </c>
      <c r="BJ35" s="2051">
        <v>1.2136</v>
      </c>
      <c r="BK35" s="2052">
        <f t="shared" si="6"/>
        <v>20000000</v>
      </c>
      <c r="BL35" s="2054">
        <f>BK35-BK34</f>
        <v>5000000</v>
      </c>
      <c r="BM35">
        <f>BJ35-BJ34</f>
        <v>-4.1999999999999815E-3</v>
      </c>
      <c r="BN35" s="2054">
        <f t="shared" si="7"/>
        <v>-9399859.8099999987</v>
      </c>
      <c r="BO35">
        <f>BM35/BL35*BN35</f>
        <v>7.8958822403999637E-3</v>
      </c>
      <c r="BP35" s="2055">
        <f>BJ34+BO35</f>
        <v>1.2256958822404</v>
      </c>
      <c r="BQ35" s="2053">
        <f t="shared" si="8"/>
        <v>0</v>
      </c>
      <c r="BR35"/>
      <c r="BS35"/>
      <c r="BT35"/>
      <c r="BU35"/>
    </row>
    <row r="36" spans="2:73" ht="21.75">
      <c r="B36" s="646">
        <v>32</v>
      </c>
      <c r="C36" s="652">
        <f>IF($C$2=20.5,'S3'!A36,IF($C$2=21.5,'S3'!B36,IF($C$2=22.5,'S3'!C36,IF($C$2=23.5,'S3'!D36,IF($C$2=24.5,'S3'!E36,IF($C$2=25.5,'S3'!F36,IF($C$2=26.5,'S3'!G36,IF($C$2=27.5,'S3'!H36,IF($C$2=28.5,'S3'!I36,IF($C$2=29.5,'S3'!J36,IF($C$2=30.5,'S3'!K36,IF($C$2=31.5,'S3'!L36))))))))))))</f>
        <v>72.91</v>
      </c>
      <c r="D36" s="652">
        <f t="shared" si="3"/>
        <v>102.07</v>
      </c>
      <c r="E36" s="969">
        <f>IF($E$2=20.5,'S3'!Y36,IF($E$2=21.5,'S3'!Z36,IF($E$2=22.5,'S3'!AA36,IF($E$2=23.5,'S3'!AB36,IF($E$2=24.5,'S3'!AC36,IF($E$2=25.5,'S3'!AD36,IF($E$2=26.5,'S3'!AE36,IF($E$2=27.5,'S3'!AF36,IF($E$2=28.5,'S3'!AG36,IF($E$2=29.5,'S3'!AH36,IF($E$2=30.5,'S3'!AI36,IF($E$2=31.5,'S3'!AJ36))))))))))))</f>
        <v>44.63</v>
      </c>
      <c r="F36" s="652">
        <f t="shared" si="0"/>
        <v>62.48</v>
      </c>
      <c r="H36" s="709" t="s">
        <v>171</v>
      </c>
      <c r="I36" s="648" t="s">
        <v>76</v>
      </c>
      <c r="J36" s="1997"/>
      <c r="K36" s="1997"/>
      <c r="L36" s="1997"/>
      <c r="M36" s="1997"/>
      <c r="N36" s="1997">
        <v>42.33</v>
      </c>
      <c r="O36" s="1997">
        <v>45.03</v>
      </c>
      <c r="P36" s="1997">
        <v>42.78</v>
      </c>
      <c r="Q36" s="1997">
        <v>45.48</v>
      </c>
      <c r="R36" s="1997">
        <v>43.23</v>
      </c>
      <c r="S36" s="1997">
        <v>45.93</v>
      </c>
      <c r="T36" s="1997">
        <v>43.68</v>
      </c>
      <c r="U36" s="1997">
        <v>46.38</v>
      </c>
      <c r="V36" s="1997"/>
      <c r="W36" s="1997"/>
      <c r="X36" s="1997"/>
      <c r="Y36" s="1997"/>
      <c r="Z36" s="1997"/>
      <c r="AA36" s="1997"/>
      <c r="AB36" s="1997"/>
      <c r="AC36" s="1997"/>
      <c r="AD36" s="1997"/>
      <c r="AE36" s="1997"/>
      <c r="AF36" s="1997"/>
      <c r="AG36" s="1997">
        <v>41.44</v>
      </c>
      <c r="AH36" s="711"/>
      <c r="AI36" s="711"/>
      <c r="AJ36" s="711"/>
      <c r="AK36" s="711"/>
      <c r="AL36" s="711"/>
      <c r="AM36" s="711"/>
      <c r="AN36" s="712"/>
      <c r="AO36" s="711"/>
      <c r="AP36" s="711"/>
      <c r="AQ36" s="711"/>
      <c r="AR36" s="712"/>
      <c r="AS36" s="711"/>
      <c r="AT36" s="712"/>
      <c r="AU36" s="712"/>
      <c r="AV36" s="712"/>
      <c r="AW36" s="712"/>
      <c r="AX36" s="712"/>
      <c r="AY36" s="712"/>
      <c r="AZ36" s="712"/>
      <c r="BA36" s="712"/>
      <c r="BB36" s="712"/>
      <c r="BC36" s="712"/>
      <c r="BD36" s="650">
        <f t="shared" si="1"/>
        <v>42.78</v>
      </c>
      <c r="BE36" s="650">
        <f t="shared" si="2"/>
        <v>45.48</v>
      </c>
      <c r="BF36" s="651">
        <f>IF(แหล่งวัสดุ!$H$4=0,BD36,IF(แหล่งวัสดุ!$H$4=1,BE36,IF(แหล่งวัสดุ!$H$4=2,BE36,)))</f>
        <v>45.48</v>
      </c>
      <c r="BI36" s="1363">
        <v>25</v>
      </c>
      <c r="BJ36" s="2051">
        <v>1.2009000000000001</v>
      </c>
      <c r="BK36" s="2052">
        <f t="shared" si="6"/>
        <v>25000000</v>
      </c>
      <c r="BL36" s="2054">
        <f>BK36-BK35</f>
        <v>5000000</v>
      </c>
      <c r="BM36">
        <f>BJ36-BJ35</f>
        <v>-1.2699999999999934E-2</v>
      </c>
      <c r="BN36" s="2054">
        <f t="shared" si="7"/>
        <v>-14399859.809999999</v>
      </c>
      <c r="BO36">
        <f>BM36/BL36*BN36</f>
        <v>3.6575643917399807E-2</v>
      </c>
      <c r="BP36" s="2055">
        <f>BJ35+BO36</f>
        <v>1.2501756439173999</v>
      </c>
      <c r="BQ36" s="2053">
        <f t="shared" si="8"/>
        <v>0</v>
      </c>
      <c r="BR36"/>
      <c r="BS36"/>
      <c r="BT36"/>
      <c r="BU36"/>
    </row>
    <row r="37" spans="2:73" ht="21.75">
      <c r="B37" s="646">
        <v>33</v>
      </c>
      <c r="C37" s="652">
        <f>IF($C$2=20.5,'S3'!A37,IF($C$2=21.5,'S3'!B37,IF($C$2=22.5,'S3'!C37,IF($C$2=23.5,'S3'!D37,IF($C$2=24.5,'S3'!E37,IF($C$2=25.5,'S3'!F37,IF($C$2=26.5,'S3'!G37,IF($C$2=27.5,'S3'!H37,IF($C$2=28.5,'S3'!I37,IF($C$2=29.5,'S3'!J37,IF($C$2=30.5,'S3'!K37,IF($C$2=31.5,'S3'!L37))))))))))))</f>
        <v>75.150000000000006</v>
      </c>
      <c r="D37" s="652">
        <f t="shared" si="3"/>
        <v>105.21</v>
      </c>
      <c r="E37" s="969">
        <f>IF($E$2=20.5,'S3'!Y37,IF($E$2=21.5,'S3'!Z37,IF($E$2=22.5,'S3'!AA37,IF($E$2=23.5,'S3'!AB37,IF($E$2=24.5,'S3'!AC37,IF($E$2=25.5,'S3'!AD37,IF($E$2=26.5,'S3'!AE37,IF($E$2=27.5,'S3'!AF37,IF($E$2=28.5,'S3'!AG37,IF($E$2=29.5,'S3'!AH37,IF($E$2=30.5,'S3'!AI37,IF($E$2=31.5,'S3'!AJ37))))))))))))</f>
        <v>46</v>
      </c>
      <c r="F37" s="652">
        <f t="shared" si="0"/>
        <v>64.400000000000006</v>
      </c>
      <c r="H37" s="713" t="s">
        <v>532</v>
      </c>
      <c r="I37" s="709"/>
      <c r="J37" s="1997"/>
      <c r="K37" s="1997"/>
      <c r="L37" s="1997"/>
      <c r="M37" s="1997"/>
      <c r="N37" s="1997"/>
      <c r="O37" s="1997"/>
      <c r="P37" s="1997"/>
      <c r="Q37" s="1997"/>
      <c r="R37" s="1997"/>
      <c r="S37" s="1997"/>
      <c r="T37" s="1997"/>
      <c r="U37" s="1997"/>
      <c r="V37" s="1997"/>
      <c r="W37" s="1997"/>
      <c r="X37" s="1997"/>
      <c r="Y37" s="1997"/>
      <c r="Z37" s="1997"/>
      <c r="AA37" s="1997"/>
      <c r="AB37" s="1997"/>
      <c r="AC37" s="1997"/>
      <c r="AD37" s="1997"/>
      <c r="AE37" s="1997"/>
      <c r="AF37" s="1997"/>
      <c r="AG37" s="1997"/>
      <c r="AH37" s="709"/>
      <c r="AI37" s="709"/>
      <c r="AJ37" s="709"/>
      <c r="AK37" s="709"/>
      <c r="AL37" s="709"/>
      <c r="AM37" s="709"/>
      <c r="AN37" s="709"/>
      <c r="AO37" s="709"/>
      <c r="AP37" s="709"/>
      <c r="AQ37" s="709"/>
      <c r="AR37" s="709"/>
      <c r="AS37" s="709"/>
      <c r="AT37" s="709"/>
      <c r="AU37" s="709"/>
      <c r="AV37" s="709"/>
      <c r="AW37" s="709"/>
      <c r="AX37" s="709"/>
      <c r="AY37" s="709"/>
      <c r="AZ37" s="709"/>
      <c r="BA37" s="709"/>
      <c r="BB37" s="709"/>
      <c r="BC37" s="709"/>
      <c r="BD37" s="650"/>
      <c r="BE37" s="650"/>
      <c r="BF37" s="709"/>
      <c r="BI37" s="2056" t="s">
        <v>433</v>
      </c>
      <c r="BJ37" s="2056" t="s">
        <v>14</v>
      </c>
      <c r="BK37" s="2054">
        <f>+ปร.4_Roads!J170</f>
        <v>5600140.1900000004</v>
      </c>
      <c r="BL37" s="2054"/>
      <c r="BM37"/>
      <c r="BN37" s="2054"/>
      <c r="BO37"/>
      <c r="BP37" s="2055"/>
      <c r="BQ37" s="2053"/>
      <c r="BR37"/>
      <c r="BS37"/>
      <c r="BT37"/>
      <c r="BU37"/>
    </row>
    <row r="38" spans="2:73" ht="21.75">
      <c r="B38" s="646">
        <v>34</v>
      </c>
      <c r="C38" s="652">
        <f>IF($C$2=20.5,'S3'!A38,IF($C$2=21.5,'S3'!B38,IF($C$2=22.5,'S3'!C38,IF($C$2=23.5,'S3'!D38,IF($C$2=24.5,'S3'!E38,IF($C$2=25.5,'S3'!F38,IF($C$2=26.5,'S3'!G38,IF($C$2=27.5,'S3'!H38,IF($C$2=28.5,'S3'!I38,IF($C$2=29.5,'S3'!J38,IF($C$2=30.5,'S3'!K38,IF($C$2=31.5,'S3'!L38))))))))))))</f>
        <v>77.400000000000006</v>
      </c>
      <c r="D38" s="652">
        <f t="shared" si="3"/>
        <v>108.36</v>
      </c>
      <c r="E38" s="969">
        <f>IF($E$2=20.5,'S3'!Y38,IF($E$2=21.5,'S3'!Z38,IF($E$2=22.5,'S3'!AA38,IF($E$2=23.5,'S3'!AB38,IF($E$2=24.5,'S3'!AC38,IF($E$2=25.5,'S3'!AD38,IF($E$2=26.5,'S3'!AE38,IF($E$2=27.5,'S3'!AF38,IF($E$2=28.5,'S3'!AG38,IF($E$2=29.5,'S3'!AH38,IF($E$2=30.5,'S3'!AI38,IF($E$2=31.5,'S3'!AJ38))))))))))))</f>
        <v>47.38</v>
      </c>
      <c r="F38" s="652">
        <f t="shared" si="0"/>
        <v>66.33</v>
      </c>
      <c r="H38" s="709" t="s">
        <v>533</v>
      </c>
      <c r="I38" s="715" t="s">
        <v>168</v>
      </c>
      <c r="J38" s="1997"/>
      <c r="K38" s="1997"/>
      <c r="L38" s="1997"/>
      <c r="M38" s="1997"/>
      <c r="N38" s="1997">
        <v>19.96</v>
      </c>
      <c r="O38" s="1997">
        <v>20.73</v>
      </c>
      <c r="P38" s="1997">
        <v>20.149999999999999</v>
      </c>
      <c r="Q38" s="1997">
        <v>20.92</v>
      </c>
      <c r="R38" s="1997">
        <v>20.34</v>
      </c>
      <c r="S38" s="1997">
        <v>21.11</v>
      </c>
      <c r="T38" s="1997">
        <v>20.53</v>
      </c>
      <c r="U38" s="1997">
        <v>21.3</v>
      </c>
      <c r="V38" s="1997"/>
      <c r="W38" s="1997"/>
      <c r="X38" s="1997"/>
      <c r="Y38" s="1997"/>
      <c r="Z38" s="1997"/>
      <c r="AA38" s="1997"/>
      <c r="AB38" s="1997"/>
      <c r="AC38" s="1997"/>
      <c r="AD38" s="1997"/>
      <c r="AE38" s="1997"/>
      <c r="AF38" s="1997"/>
      <c r="AG38" s="1997">
        <v>21.7</v>
      </c>
      <c r="AH38" s="710"/>
      <c r="AI38" s="710"/>
      <c r="AJ38" s="710"/>
      <c r="AK38" s="710"/>
      <c r="AL38" s="710"/>
      <c r="AM38" s="710"/>
      <c r="AN38" s="710"/>
      <c r="AO38" s="710"/>
      <c r="AP38" s="710"/>
      <c r="AQ38" s="710"/>
      <c r="AR38" s="710"/>
      <c r="AS38" s="710"/>
      <c r="AT38" s="710"/>
      <c r="AU38" s="710"/>
      <c r="AV38" s="710"/>
      <c r="AW38" s="710"/>
      <c r="AX38" s="710"/>
      <c r="AY38" s="710"/>
      <c r="AZ38" s="710"/>
      <c r="BA38" s="710"/>
      <c r="BB38" s="710"/>
      <c r="BC38" s="710"/>
      <c r="BD38" s="650">
        <f t="shared" si="1"/>
        <v>20.149999999999999</v>
      </c>
      <c r="BE38" s="650">
        <f t="shared" si="2"/>
        <v>20.92</v>
      </c>
      <c r="BF38" s="651">
        <f>IF(แหล่งวัสดุ!$H$4=0,BD38,IF(แหล่งวัสดุ!$H$4=1,BE38,IF(แหล่งวัสดุ!$H$4=2,BE38,)))</f>
        <v>20.92</v>
      </c>
      <c r="BI38" s="2057" t="s">
        <v>1969</v>
      </c>
      <c r="BJ38" s="2058" t="s">
        <v>14</v>
      </c>
      <c r="BK38" s="2059">
        <f>BQ32</f>
        <v>1.2436</v>
      </c>
      <c r="BL38" s="2054"/>
      <c r="BM38"/>
      <c r="BN38" s="2054"/>
      <c r="BO38"/>
      <c r="BP38" s="2055"/>
      <c r="BQ38" s="2053"/>
      <c r="BR38"/>
      <c r="BS38"/>
      <c r="BT38"/>
      <c r="BU38"/>
    </row>
    <row r="39" spans="2:73" ht="21.75">
      <c r="B39" s="646">
        <v>35</v>
      </c>
      <c r="C39" s="652">
        <f>IF($C$2=20.5,'S3'!A39,IF($C$2=21.5,'S3'!B39,IF($C$2=22.5,'S3'!C39,IF($C$2=23.5,'S3'!D39,IF($C$2=24.5,'S3'!E39,IF($C$2=25.5,'S3'!F39,IF($C$2=26.5,'S3'!G39,IF($C$2=27.5,'S3'!H39,IF($C$2=28.5,'S3'!I39,IF($C$2=29.5,'S3'!J39,IF($C$2=30.5,'S3'!K39,IF($C$2=31.5,'S3'!L39))))))))))))</f>
        <v>79.62</v>
      </c>
      <c r="D39" s="652">
        <f t="shared" si="3"/>
        <v>111.47</v>
      </c>
      <c r="E39" s="969">
        <f>IF($E$2=20.5,'S3'!Y39,IF($E$2=21.5,'S3'!Z39,IF($E$2=22.5,'S3'!AA39,IF($E$2=23.5,'S3'!AB39,IF($E$2=24.5,'S3'!AC39,IF($E$2=25.5,'S3'!AD39,IF($E$2=26.5,'S3'!AE39,IF($E$2=27.5,'S3'!AF39,IF($E$2=28.5,'S3'!AG39,IF($E$2=29.5,'S3'!AH39,IF($E$2=30.5,'S3'!AI39,IF($E$2=31.5,'S3'!AJ39))))))))))))</f>
        <v>48.75</v>
      </c>
      <c r="F39" s="652">
        <f t="shared" si="0"/>
        <v>68.25</v>
      </c>
      <c r="H39" s="709" t="s">
        <v>534</v>
      </c>
      <c r="I39" s="648" t="s">
        <v>74</v>
      </c>
      <c r="J39" s="1997"/>
      <c r="K39" s="1997"/>
      <c r="L39" s="1997"/>
      <c r="M39" s="1997"/>
      <c r="N39" s="1997">
        <v>7.63</v>
      </c>
      <c r="O39" s="1997">
        <v>8.06</v>
      </c>
      <c r="P39" s="1997">
        <v>7.71</v>
      </c>
      <c r="Q39" s="1997">
        <v>8.14</v>
      </c>
      <c r="R39" s="1997">
        <v>7.8</v>
      </c>
      <c r="S39" s="1997">
        <v>8.23</v>
      </c>
      <c r="T39" s="1997">
        <v>7.88</v>
      </c>
      <c r="U39" s="1997">
        <v>8.31</v>
      </c>
      <c r="V39" s="1997"/>
      <c r="W39" s="1997"/>
      <c r="X39" s="1997"/>
      <c r="Y39" s="1997"/>
      <c r="Z39" s="1997"/>
      <c r="AA39" s="1997"/>
      <c r="AB39" s="1997"/>
      <c r="AC39" s="1997"/>
      <c r="AD39" s="1997"/>
      <c r="AE39" s="1997"/>
      <c r="AF39" s="1997"/>
      <c r="AG39" s="1997">
        <v>8.7899999999999991</v>
      </c>
      <c r="AH39" s="710"/>
      <c r="AI39" s="710"/>
      <c r="AJ39" s="710"/>
      <c r="AK39" s="710"/>
      <c r="AL39" s="710"/>
      <c r="AM39" s="710"/>
      <c r="AN39" s="710"/>
      <c r="AO39" s="710"/>
      <c r="AP39" s="710"/>
      <c r="AQ39" s="710"/>
      <c r="AR39" s="710"/>
      <c r="AS39" s="710"/>
      <c r="AT39" s="710"/>
      <c r="AU39" s="710"/>
      <c r="AV39" s="710"/>
      <c r="AW39" s="710"/>
      <c r="AX39" s="710"/>
      <c r="AY39" s="710"/>
      <c r="AZ39" s="710"/>
      <c r="BA39" s="710"/>
      <c r="BB39" s="710"/>
      <c r="BC39" s="710"/>
      <c r="BD39" s="650">
        <f t="shared" si="1"/>
        <v>7.71</v>
      </c>
      <c r="BE39" s="650">
        <f t="shared" si="2"/>
        <v>8.14</v>
      </c>
      <c r="BF39" s="651">
        <f>IF(แหล่งวัสดุ!$H$4=0,BD39,IF(แหล่งวัสดุ!$H$4=1,BE39,IF(แหล่งวัสดุ!$H$4=2,BE39,)))</f>
        <v>8.14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</row>
    <row r="40" spans="2:73" ht="21.75">
      <c r="B40" s="646">
        <v>36</v>
      </c>
      <c r="C40" s="652">
        <f>IF($C$2=20.5,'S3'!A40,IF($C$2=21.5,'S3'!B40,IF($C$2=22.5,'S3'!C40,IF($C$2=23.5,'S3'!D40,IF($C$2=24.5,'S3'!E40,IF($C$2=25.5,'S3'!F40,IF($C$2=26.5,'S3'!G40,IF($C$2=27.5,'S3'!H40,IF($C$2=28.5,'S3'!I40,IF($C$2=29.5,'S3'!J40,IF($C$2=30.5,'S3'!K40,IF($C$2=31.5,'S3'!L40))))))))))))</f>
        <v>81.87</v>
      </c>
      <c r="D40" s="652">
        <f t="shared" si="3"/>
        <v>114.62</v>
      </c>
      <c r="E40" s="969">
        <f>IF($E$2=20.5,'S3'!Y40,IF($E$2=21.5,'S3'!Z40,IF($E$2=22.5,'S3'!AA40,IF($E$2=23.5,'S3'!AB40,IF($E$2=24.5,'S3'!AC40,IF($E$2=25.5,'S3'!AD40,IF($E$2=26.5,'S3'!AE40,IF($E$2=27.5,'S3'!AF40,IF($E$2=28.5,'S3'!AG40,IF($E$2=29.5,'S3'!AH40,IF($E$2=30.5,'S3'!AI40,IF($E$2=31.5,'S3'!AJ40))))))))))))</f>
        <v>50.13</v>
      </c>
      <c r="F40" s="652">
        <f t="shared" si="0"/>
        <v>70.180000000000007</v>
      </c>
      <c r="H40" s="709" t="s">
        <v>535</v>
      </c>
      <c r="I40" s="715" t="s">
        <v>168</v>
      </c>
      <c r="J40" s="1997"/>
      <c r="K40" s="1997"/>
      <c r="L40" s="1997"/>
      <c r="M40" s="1997"/>
      <c r="N40" s="1997">
        <v>29.58</v>
      </c>
      <c r="O40" s="1997">
        <v>30.42</v>
      </c>
      <c r="P40" s="1997">
        <v>29.97</v>
      </c>
      <c r="Q40" s="1997">
        <v>30.81</v>
      </c>
      <c r="R40" s="1997">
        <v>30.36</v>
      </c>
      <c r="S40" s="1997">
        <v>31.2</v>
      </c>
      <c r="T40" s="1997">
        <v>30.74</v>
      </c>
      <c r="U40" s="1997">
        <v>31.58</v>
      </c>
      <c r="V40" s="1997"/>
      <c r="W40" s="1997"/>
      <c r="X40" s="1997"/>
      <c r="Y40" s="1997"/>
      <c r="Z40" s="1997"/>
      <c r="AA40" s="1997"/>
      <c r="AB40" s="1997"/>
      <c r="AC40" s="1997"/>
      <c r="AD40" s="1997"/>
      <c r="AE40" s="1997"/>
      <c r="AF40" s="1997"/>
      <c r="AG40" s="1997">
        <v>33.51</v>
      </c>
      <c r="AH40" s="710"/>
      <c r="AI40" s="710"/>
      <c r="AJ40" s="710"/>
      <c r="AK40" s="710"/>
      <c r="AL40" s="710"/>
      <c r="AM40" s="710"/>
      <c r="AN40" s="710"/>
      <c r="AO40" s="710"/>
      <c r="AP40" s="710"/>
      <c r="AQ40" s="710"/>
      <c r="AR40" s="710"/>
      <c r="AS40" s="710"/>
      <c r="AT40" s="710"/>
      <c r="AU40" s="710"/>
      <c r="AV40" s="710"/>
      <c r="AW40" s="710"/>
      <c r="AX40" s="710"/>
      <c r="AY40" s="710"/>
      <c r="AZ40" s="710"/>
      <c r="BA40" s="710"/>
      <c r="BB40" s="710"/>
      <c r="BC40" s="710"/>
      <c r="BD40" s="650">
        <f t="shared" si="1"/>
        <v>29.97</v>
      </c>
      <c r="BE40" s="650">
        <f t="shared" si="2"/>
        <v>30.81</v>
      </c>
      <c r="BF40" s="651">
        <f>IF(แหล่งวัสดุ!$H$4=0,BD40,IF(แหล่งวัสดุ!$H$4=1,BE40,IF(แหล่งวัสดุ!$H$4=2,BE40,)))</f>
        <v>30.81</v>
      </c>
      <c r="BI40"/>
      <c r="BJ40"/>
      <c r="BK40"/>
      <c r="BL40"/>
      <c r="BM40"/>
      <c r="BN40"/>
      <c r="BO40"/>
      <c r="BP40"/>
      <c r="BQ40"/>
      <c r="BR40"/>
      <c r="BS40"/>
      <c r="BT40"/>
      <c r="BU40"/>
    </row>
    <row r="41" spans="2:73" ht="21.75">
      <c r="B41" s="646">
        <v>37</v>
      </c>
      <c r="C41" s="652">
        <f>IF($C$2=20.5,'S3'!A41,IF($C$2=21.5,'S3'!B41,IF($C$2=22.5,'S3'!C41,IF($C$2=23.5,'S3'!D41,IF($C$2=24.5,'S3'!E41,IF($C$2=25.5,'S3'!F41,IF($C$2=26.5,'S3'!G41,IF($C$2=27.5,'S3'!H41,IF($C$2=28.5,'S3'!I41,IF($C$2=29.5,'S3'!J41,IF($C$2=30.5,'S3'!K41,IF($C$2=31.5,'S3'!L41))))))))))))</f>
        <v>84.11</v>
      </c>
      <c r="D41" s="652">
        <f t="shared" si="3"/>
        <v>117.75</v>
      </c>
      <c r="E41" s="969">
        <f>IF($E$2=20.5,'S3'!Y41,IF($E$2=21.5,'S3'!Z41,IF($E$2=22.5,'S3'!AA41,IF($E$2=23.5,'S3'!AB41,IF($E$2=24.5,'S3'!AC41,IF($E$2=25.5,'S3'!AD41,IF($E$2=26.5,'S3'!AE41,IF($E$2=27.5,'S3'!AF41,IF($E$2=28.5,'S3'!AG41,IF($E$2=29.5,'S3'!AH41,IF($E$2=30.5,'S3'!AI41,IF($E$2=31.5,'S3'!AJ41))))))))))))</f>
        <v>51.5</v>
      </c>
      <c r="F41" s="652">
        <f t="shared" si="0"/>
        <v>72.099999999999994</v>
      </c>
      <c r="H41" s="709" t="s">
        <v>536</v>
      </c>
      <c r="I41" s="648" t="s">
        <v>74</v>
      </c>
      <c r="J41" s="1997"/>
      <c r="K41" s="1997"/>
      <c r="L41" s="1997"/>
      <c r="M41" s="1997"/>
      <c r="N41" s="1997">
        <v>36.770000000000003</v>
      </c>
      <c r="O41" s="1997">
        <v>38.07</v>
      </c>
      <c r="P41" s="1997">
        <v>37.22</v>
      </c>
      <c r="Q41" s="1997">
        <v>38.520000000000003</v>
      </c>
      <c r="R41" s="1997">
        <v>37.67</v>
      </c>
      <c r="S41" s="1997">
        <v>38.97</v>
      </c>
      <c r="T41" s="1997">
        <v>38.119999999999997</v>
      </c>
      <c r="U41" s="1997">
        <v>39.42</v>
      </c>
      <c r="V41" s="1997"/>
      <c r="W41" s="1997"/>
      <c r="X41" s="1997"/>
      <c r="Y41" s="1997"/>
      <c r="Z41" s="1997"/>
      <c r="AA41" s="1997"/>
      <c r="AB41" s="1997"/>
      <c r="AC41" s="1997"/>
      <c r="AD41" s="1997"/>
      <c r="AE41" s="1997"/>
      <c r="AF41" s="1997"/>
      <c r="AG41" s="1997">
        <v>40.56</v>
      </c>
      <c r="AH41" s="710"/>
      <c r="AI41" s="710"/>
      <c r="AJ41" s="710"/>
      <c r="AK41" s="710"/>
      <c r="AL41" s="710"/>
      <c r="AM41" s="710"/>
      <c r="AN41" s="710"/>
      <c r="AO41" s="710"/>
      <c r="AP41" s="710"/>
      <c r="AQ41" s="710"/>
      <c r="AR41" s="710"/>
      <c r="AS41" s="710"/>
      <c r="AT41" s="710"/>
      <c r="AU41" s="710"/>
      <c r="AV41" s="710"/>
      <c r="AW41" s="710"/>
      <c r="AX41" s="710"/>
      <c r="AY41" s="710"/>
      <c r="AZ41" s="710"/>
      <c r="BA41" s="710"/>
      <c r="BB41" s="710"/>
      <c r="BC41" s="710"/>
      <c r="BD41" s="650">
        <f t="shared" si="1"/>
        <v>37.22</v>
      </c>
      <c r="BE41" s="650">
        <f t="shared" si="2"/>
        <v>38.520000000000003</v>
      </c>
      <c r="BF41" s="651">
        <f>IF(แหล่งวัสดุ!$H$4=0,BD41,IF(แหล่งวัสดุ!$H$4=1,BE41,IF(แหล่งวัสดุ!$H$4=2,BE41,)))</f>
        <v>38.520000000000003</v>
      </c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pans="2:73" ht="21.75">
      <c r="B42" s="646">
        <v>38</v>
      </c>
      <c r="C42" s="652">
        <f>IF($C$2=20.5,'S3'!A42,IF($C$2=21.5,'S3'!B42,IF($C$2=22.5,'S3'!C42,IF($C$2=23.5,'S3'!D42,IF($C$2=24.5,'S3'!E42,IF($C$2=25.5,'S3'!F42,IF($C$2=26.5,'S3'!G42,IF($C$2=27.5,'S3'!H42,IF($C$2=28.5,'S3'!I42,IF($C$2=29.5,'S3'!J42,IF($C$2=30.5,'S3'!K42,IF($C$2=31.5,'S3'!L42))))))))))))</f>
        <v>86.35</v>
      </c>
      <c r="D42" s="652">
        <f t="shared" si="3"/>
        <v>120.89</v>
      </c>
      <c r="E42" s="969">
        <f>IF($E$2=20.5,'S3'!Y42,IF($E$2=21.5,'S3'!Z42,IF($E$2=22.5,'S3'!AA42,IF($E$2=23.5,'S3'!AB42,IF($E$2=24.5,'S3'!AC42,IF($E$2=25.5,'S3'!AD42,IF($E$2=26.5,'S3'!AE42,IF($E$2=27.5,'S3'!AF42,IF($E$2=28.5,'S3'!AG42,IF($E$2=29.5,'S3'!AH42,IF($E$2=30.5,'S3'!AI42,IF($E$2=31.5,'S3'!AJ42))))))))))))</f>
        <v>52.88</v>
      </c>
      <c r="F42" s="652">
        <f t="shared" si="0"/>
        <v>74.03</v>
      </c>
      <c r="H42" s="713" t="s">
        <v>1278</v>
      </c>
      <c r="I42" s="648"/>
      <c r="J42" s="1997"/>
      <c r="K42" s="1997"/>
      <c r="L42" s="1997"/>
      <c r="M42" s="1997"/>
      <c r="N42" s="1997"/>
      <c r="O42" s="1997"/>
      <c r="P42" s="1997"/>
      <c r="Q42" s="1997"/>
      <c r="R42" s="1997"/>
      <c r="S42" s="1997"/>
      <c r="T42" s="1997"/>
      <c r="U42" s="1997"/>
      <c r="V42" s="1997"/>
      <c r="W42" s="1997"/>
      <c r="X42" s="1997"/>
      <c r="Y42" s="1997"/>
      <c r="Z42" s="1997"/>
      <c r="AA42" s="1997"/>
      <c r="AB42" s="1997"/>
      <c r="AC42" s="1997"/>
      <c r="AD42" s="1997"/>
      <c r="AE42" s="1997"/>
      <c r="AF42" s="1997"/>
      <c r="AG42" s="1997"/>
      <c r="AH42" s="710"/>
      <c r="AI42" s="710"/>
      <c r="AJ42" s="710"/>
      <c r="AK42" s="710"/>
      <c r="AL42" s="710"/>
      <c r="AM42" s="710"/>
      <c r="AN42" s="710"/>
      <c r="AO42" s="710"/>
      <c r="AP42" s="710"/>
      <c r="AQ42" s="710"/>
      <c r="AR42" s="710"/>
      <c r="AS42" s="710"/>
      <c r="AT42" s="710"/>
      <c r="AU42" s="710"/>
      <c r="AV42" s="710"/>
      <c r="AW42" s="710"/>
      <c r="AX42" s="710"/>
      <c r="AY42" s="710"/>
      <c r="AZ42" s="710"/>
      <c r="BA42" s="710"/>
      <c r="BB42" s="710"/>
      <c r="BC42" s="710"/>
      <c r="BD42" s="650"/>
      <c r="BE42" s="650"/>
      <c r="BF42" s="651"/>
      <c r="BI42"/>
      <c r="BJ42"/>
      <c r="BK42"/>
      <c r="BL42"/>
      <c r="BM42"/>
      <c r="BN42"/>
      <c r="BO42"/>
      <c r="BP42"/>
      <c r="BQ42"/>
      <c r="BR42"/>
      <c r="BS42"/>
      <c r="BT42"/>
      <c r="BU42"/>
    </row>
    <row r="43" spans="2:73" ht="21.75">
      <c r="B43" s="646">
        <v>39</v>
      </c>
      <c r="C43" s="652">
        <f>IF($C$2=20.5,'S3'!A43,IF($C$2=21.5,'S3'!B43,IF($C$2=22.5,'S3'!C43,IF($C$2=23.5,'S3'!D43,IF($C$2=24.5,'S3'!E43,IF($C$2=25.5,'S3'!F43,IF($C$2=26.5,'S3'!G43,IF($C$2=27.5,'S3'!H43,IF($C$2=28.5,'S3'!I43,IF($C$2=29.5,'S3'!J43,IF($C$2=30.5,'S3'!K43,IF($C$2=31.5,'S3'!L43))))))))))))</f>
        <v>88.59</v>
      </c>
      <c r="D43" s="652">
        <f t="shared" si="3"/>
        <v>124.03</v>
      </c>
      <c r="E43" s="969">
        <f>IF($E$2=20.5,'S3'!Y43,IF($E$2=21.5,'S3'!Z43,IF($E$2=22.5,'S3'!AA43,IF($E$2=23.5,'S3'!AB43,IF($E$2=24.5,'S3'!AC43,IF($E$2=25.5,'S3'!AD43,IF($E$2=26.5,'S3'!AE43,IF($E$2=27.5,'S3'!AF43,IF($E$2=28.5,'S3'!AG43,IF($E$2=29.5,'S3'!AH43,IF($E$2=30.5,'S3'!AI43,IF($E$2=31.5,'S3'!AJ43))))))))))))</f>
        <v>54.26</v>
      </c>
      <c r="F43" s="652">
        <f t="shared" si="0"/>
        <v>75.959999999999994</v>
      </c>
      <c r="H43" s="709" t="s">
        <v>1279</v>
      </c>
      <c r="I43" s="648" t="s">
        <v>31</v>
      </c>
      <c r="J43" s="1997"/>
      <c r="K43" s="1997"/>
      <c r="L43" s="1997"/>
      <c r="M43" s="1997"/>
      <c r="N43" s="1997">
        <v>11.06</v>
      </c>
      <c r="O43" s="1997">
        <v>11.55</v>
      </c>
      <c r="P43" s="1997">
        <v>11.25</v>
      </c>
      <c r="Q43" s="1997">
        <v>11.74</v>
      </c>
      <c r="R43" s="1997">
        <v>11.45</v>
      </c>
      <c r="S43" s="1997">
        <v>11.94</v>
      </c>
      <c r="T43" s="1997">
        <v>11.64</v>
      </c>
      <c r="U43" s="1997">
        <v>12.13</v>
      </c>
      <c r="V43" s="1997"/>
      <c r="W43" s="1997"/>
      <c r="X43" s="1997"/>
      <c r="Y43" s="1997"/>
      <c r="Z43" s="1997"/>
      <c r="AA43" s="1997"/>
      <c r="AB43" s="1997"/>
      <c r="AC43" s="1997"/>
      <c r="AD43" s="1997"/>
      <c r="AE43" s="1997"/>
      <c r="AF43" s="1997"/>
      <c r="AG43" s="1997">
        <v>12.38</v>
      </c>
      <c r="AH43" s="710"/>
      <c r="AI43" s="710"/>
      <c r="AJ43" s="710"/>
      <c r="AK43" s="710"/>
      <c r="AL43" s="710"/>
      <c r="AM43" s="710"/>
      <c r="AN43" s="710"/>
      <c r="AO43" s="710"/>
      <c r="AP43" s="710"/>
      <c r="AQ43" s="710"/>
      <c r="AR43" s="710"/>
      <c r="AS43" s="710"/>
      <c r="AT43" s="710"/>
      <c r="AU43" s="710"/>
      <c r="AV43" s="710"/>
      <c r="AW43" s="710"/>
      <c r="AX43" s="710"/>
      <c r="AY43" s="710"/>
      <c r="AZ43" s="710"/>
      <c r="BA43" s="710"/>
      <c r="BB43" s="710"/>
      <c r="BC43" s="710"/>
      <c r="BD43" s="650">
        <f t="shared" si="1"/>
        <v>11.25</v>
      </c>
      <c r="BE43" s="650">
        <f t="shared" si="2"/>
        <v>11.74</v>
      </c>
      <c r="BF43" s="651">
        <f>IF(แหล่งวัสดุ!$H$4=0,BD43,IF(แหล่งวัสดุ!$H$4=1,BE43,IF(แหล่งวัสดุ!$H$4=2,BE43,)))</f>
        <v>11.74</v>
      </c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2:73" ht="21.75">
      <c r="B44" s="646">
        <v>40</v>
      </c>
      <c r="C44" s="652">
        <f>IF($C$2=20.5,'S3'!A44,IF($C$2=21.5,'S3'!B44,IF($C$2=22.5,'S3'!C44,IF($C$2=23.5,'S3'!D44,IF($C$2=24.5,'S3'!E44,IF($C$2=25.5,'S3'!F44,IF($C$2=26.5,'S3'!G44,IF($C$2=27.5,'S3'!H44,IF($C$2=28.5,'S3'!I44,IF($C$2=29.5,'S3'!J44,IF($C$2=30.5,'S3'!K44,IF($C$2=31.5,'S3'!L44))))))))))))</f>
        <v>90.82</v>
      </c>
      <c r="D44" s="652">
        <f t="shared" si="3"/>
        <v>127.15</v>
      </c>
      <c r="E44" s="969">
        <f>IF($E$2=20.5,'S3'!Y44,IF($E$2=21.5,'S3'!Z44,IF($E$2=22.5,'S3'!AA44,IF($E$2=23.5,'S3'!AB44,IF($E$2=24.5,'S3'!AC44,IF($E$2=25.5,'S3'!AD44,IF($E$2=26.5,'S3'!AE44,IF($E$2=27.5,'S3'!AF44,IF($E$2=28.5,'S3'!AG44,IF($E$2=29.5,'S3'!AH44,IF($E$2=30.5,'S3'!AI44,IF($E$2=31.5,'S3'!AJ44))))))))))))</f>
        <v>55.63</v>
      </c>
      <c r="F44" s="652">
        <f t="shared" si="0"/>
        <v>77.88</v>
      </c>
      <c r="H44" s="709" t="s">
        <v>1280</v>
      </c>
      <c r="I44" s="648" t="s">
        <v>31</v>
      </c>
      <c r="J44" s="1997"/>
      <c r="K44" s="1997"/>
      <c r="L44" s="1997"/>
      <c r="M44" s="1997"/>
      <c r="N44" s="1997">
        <v>12.9</v>
      </c>
      <c r="O44" s="1997">
        <v>13.48</v>
      </c>
      <c r="P44" s="1997">
        <v>13.13</v>
      </c>
      <c r="Q44" s="1997">
        <v>13.91</v>
      </c>
      <c r="R44" s="1997">
        <v>13.36</v>
      </c>
      <c r="S44" s="1997">
        <v>13.94</v>
      </c>
      <c r="T44" s="1997">
        <v>13.58</v>
      </c>
      <c r="U44" s="1997">
        <v>14.16</v>
      </c>
      <c r="V44" s="1997"/>
      <c r="W44" s="1997"/>
      <c r="X44" s="1997"/>
      <c r="Y44" s="1997"/>
      <c r="Z44" s="1997"/>
      <c r="AA44" s="1997"/>
      <c r="AB44" s="1997"/>
      <c r="AC44" s="1997"/>
      <c r="AD44" s="1997"/>
      <c r="AE44" s="1997"/>
      <c r="AF44" s="1997"/>
      <c r="AG44" s="1997">
        <v>14.44</v>
      </c>
      <c r="AH44" s="710"/>
      <c r="AI44" s="710"/>
      <c r="AJ44" s="710"/>
      <c r="AK44" s="710"/>
      <c r="AL44" s="710"/>
      <c r="AM44" s="710"/>
      <c r="AN44" s="710"/>
      <c r="AO44" s="710"/>
      <c r="AP44" s="710"/>
      <c r="AQ44" s="710"/>
      <c r="AR44" s="710"/>
      <c r="AS44" s="710"/>
      <c r="AT44" s="710"/>
      <c r="AU44" s="710"/>
      <c r="AV44" s="710"/>
      <c r="AW44" s="710"/>
      <c r="AX44" s="710"/>
      <c r="AY44" s="710"/>
      <c r="AZ44" s="710"/>
      <c r="BA44" s="710"/>
      <c r="BB44" s="710"/>
      <c r="BC44" s="710"/>
      <c r="BD44" s="650">
        <f t="shared" si="1"/>
        <v>13.13</v>
      </c>
      <c r="BE44" s="650">
        <f t="shared" si="2"/>
        <v>13.91</v>
      </c>
      <c r="BF44" s="651">
        <f>IF(แหล่งวัสดุ!$H$4=0,BD44,IF(แหล่งวัสดุ!$H$4=1,BE44,IF(แหล่งวัสดุ!$H$4=2,BE44,)))</f>
        <v>13.91</v>
      </c>
      <c r="BI44"/>
      <c r="BJ44"/>
      <c r="BK44"/>
      <c r="BL44"/>
      <c r="BM44"/>
      <c r="BN44"/>
      <c r="BO44"/>
      <c r="BP44"/>
      <c r="BQ44"/>
      <c r="BR44"/>
      <c r="BS44"/>
      <c r="BT44"/>
      <c r="BU44"/>
    </row>
    <row r="45" spans="2:73" ht="21.75">
      <c r="B45" s="646">
        <v>41</v>
      </c>
      <c r="C45" s="652">
        <f>IF($C$2=20.5,'S3'!A45,IF($C$2=21.5,'S3'!B45,IF($C$2=22.5,'S3'!C45,IF($C$2=23.5,'S3'!D45,IF($C$2=24.5,'S3'!E45,IF($C$2=25.5,'S3'!F45,IF($C$2=26.5,'S3'!G45,IF($C$2=27.5,'S3'!H45,IF($C$2=28.5,'S3'!I45,IF($C$2=29.5,'S3'!J45,IF($C$2=30.5,'S3'!K45,IF($C$2=31.5,'S3'!L45))))))))))))</f>
        <v>93.07</v>
      </c>
      <c r="D45" s="652">
        <f t="shared" si="3"/>
        <v>130.30000000000001</v>
      </c>
      <c r="E45" s="969">
        <f>IF($E$2=20.5,'S3'!Y45,IF($E$2=21.5,'S3'!Z45,IF($E$2=22.5,'S3'!AA45,IF($E$2=23.5,'S3'!AB45,IF($E$2=24.5,'S3'!AC45,IF($E$2=25.5,'S3'!AD45,IF($E$2=26.5,'S3'!AE45,IF($E$2=27.5,'S3'!AF45,IF($E$2=28.5,'S3'!AG45,IF($E$2=29.5,'S3'!AH45,IF($E$2=30.5,'S3'!AI45,IF($E$2=31.5,'S3'!AJ45))))))))))))</f>
        <v>57.01</v>
      </c>
      <c r="F45" s="652">
        <f t="shared" si="0"/>
        <v>79.81</v>
      </c>
      <c r="J45" s="2002"/>
      <c r="K45" s="2002"/>
      <c r="BI45"/>
      <c r="BJ45"/>
      <c r="BK45"/>
      <c r="BL45"/>
      <c r="BM45"/>
      <c r="BN45"/>
      <c r="BO45"/>
      <c r="BP45"/>
      <c r="BQ45"/>
      <c r="BR45"/>
      <c r="BS45"/>
      <c r="BT45"/>
      <c r="BU45"/>
    </row>
    <row r="46" spans="2:73" ht="21.75">
      <c r="B46" s="646">
        <v>42</v>
      </c>
      <c r="C46" s="652">
        <f>IF($C$2=20.5,'S3'!A46,IF($C$2=21.5,'S3'!B46,IF($C$2=22.5,'S3'!C46,IF($C$2=23.5,'S3'!D46,IF($C$2=24.5,'S3'!E46,IF($C$2=25.5,'S3'!F46,IF($C$2=26.5,'S3'!G46,IF($C$2=27.5,'S3'!H46,IF($C$2=28.5,'S3'!I46,IF($C$2=29.5,'S3'!J46,IF($C$2=30.5,'S3'!K46,IF($C$2=31.5,'S3'!L46))))))))))))</f>
        <v>95.31</v>
      </c>
      <c r="D46" s="652">
        <f t="shared" si="3"/>
        <v>133.43</v>
      </c>
      <c r="E46" s="969">
        <f>IF($E$2=20.5,'S3'!Y46,IF($E$2=21.5,'S3'!Z46,IF($E$2=22.5,'S3'!AA46,IF($E$2=23.5,'S3'!AB46,IF($E$2=24.5,'S3'!AC46,IF($E$2=25.5,'S3'!AD46,IF($E$2=26.5,'S3'!AE46,IF($E$2=27.5,'S3'!AF46,IF($E$2=28.5,'S3'!AG46,IF($E$2=29.5,'S3'!AH46,IF($E$2=30.5,'S3'!AI46,IF($E$2=31.5,'S3'!AJ46))))))))))))</f>
        <v>58.39</v>
      </c>
      <c r="F46" s="652">
        <f t="shared" si="0"/>
        <v>81.75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</row>
    <row r="47" spans="2:73" ht="21.75">
      <c r="B47" s="646">
        <v>43</v>
      </c>
      <c r="C47" s="652">
        <f>IF($C$2=20.5,'S3'!A47,IF($C$2=21.5,'S3'!B47,IF($C$2=22.5,'S3'!C47,IF($C$2=23.5,'S3'!D47,IF($C$2=24.5,'S3'!E47,IF($C$2=25.5,'S3'!F47,IF($C$2=26.5,'S3'!G47,IF($C$2=27.5,'S3'!H47,IF($C$2=28.5,'S3'!I47,IF($C$2=29.5,'S3'!J47,IF($C$2=30.5,'S3'!K47,IF($C$2=31.5,'S3'!L47))))))))))))</f>
        <v>97.54</v>
      </c>
      <c r="D47" s="652">
        <f t="shared" si="3"/>
        <v>136.56</v>
      </c>
      <c r="E47" s="969">
        <f>IF($E$2=20.5,'S3'!Y47,IF($E$2=21.5,'S3'!Z47,IF($E$2=22.5,'S3'!AA47,IF($E$2=23.5,'S3'!AB47,IF($E$2=24.5,'S3'!AC47,IF($E$2=25.5,'S3'!AD47,IF($E$2=26.5,'S3'!AE47,IF($E$2=27.5,'S3'!AF47,IF($E$2=28.5,'S3'!AG47,IF($E$2=29.5,'S3'!AH47,IF($E$2=30.5,'S3'!AI47,IF($E$2=31.5,'S3'!AJ47))))))))))))</f>
        <v>59.75</v>
      </c>
      <c r="F47" s="652">
        <f t="shared" si="0"/>
        <v>83.65</v>
      </c>
      <c r="BI47"/>
      <c r="BJ47"/>
      <c r="BK47"/>
      <c r="BL47"/>
      <c r="BM47"/>
      <c r="BN47"/>
      <c r="BO47"/>
      <c r="BP47"/>
      <c r="BQ47"/>
      <c r="BR47"/>
      <c r="BS47"/>
      <c r="BT47"/>
      <c r="BU47"/>
    </row>
    <row r="48" spans="2:73" ht="21.75">
      <c r="B48" s="646">
        <v>44</v>
      </c>
      <c r="C48" s="652">
        <f>IF($C$2=20.5,'S3'!A48,IF($C$2=21.5,'S3'!B48,IF($C$2=22.5,'S3'!C48,IF($C$2=23.5,'S3'!D48,IF($C$2=24.5,'S3'!E48,IF($C$2=25.5,'S3'!F48,IF($C$2=26.5,'S3'!G48,IF($C$2=27.5,'S3'!H48,IF($C$2=28.5,'S3'!I48,IF($C$2=29.5,'S3'!J48,IF($C$2=30.5,'S3'!K48,IF($C$2=31.5,'S3'!L48))))))))))))</f>
        <v>99.79</v>
      </c>
      <c r="D48" s="652">
        <f t="shared" si="3"/>
        <v>139.71</v>
      </c>
      <c r="E48" s="969">
        <f>IF($E$2=20.5,'S3'!Y48,IF($E$2=21.5,'S3'!Z48,IF($E$2=22.5,'S3'!AA48,IF($E$2=23.5,'S3'!AB48,IF($E$2=24.5,'S3'!AC48,IF($E$2=25.5,'S3'!AD48,IF($E$2=26.5,'S3'!AE48,IF($E$2=27.5,'S3'!AF48,IF($E$2=28.5,'S3'!AG48,IF($E$2=29.5,'S3'!AH48,IF($E$2=30.5,'S3'!AI48,IF($E$2=31.5,'S3'!AJ48))))))))))))</f>
        <v>61.13</v>
      </c>
      <c r="F48" s="652">
        <f t="shared" si="0"/>
        <v>85.58</v>
      </c>
      <c r="BI48"/>
      <c r="BJ48"/>
      <c r="BK48"/>
      <c r="BL48"/>
      <c r="BM48"/>
      <c r="BN48"/>
      <c r="BO48"/>
      <c r="BP48"/>
      <c r="BQ48"/>
      <c r="BR48"/>
      <c r="BS48"/>
      <c r="BT48"/>
      <c r="BU48"/>
    </row>
    <row r="49" spans="2:73" ht="21.75">
      <c r="B49" s="646">
        <v>45</v>
      </c>
      <c r="C49" s="652">
        <f>IF($C$2=20.5,'S3'!A49,IF($C$2=21.5,'S3'!B49,IF($C$2=22.5,'S3'!C49,IF($C$2=23.5,'S3'!D49,IF($C$2=24.5,'S3'!E49,IF($C$2=25.5,'S3'!F49,IF($C$2=26.5,'S3'!G49,IF($C$2=27.5,'S3'!H49,IF($C$2=28.5,'S3'!I49,IF($C$2=29.5,'S3'!J49,IF($C$2=30.5,'S3'!K49,IF($C$2=31.5,'S3'!L49))))))))))))</f>
        <v>102.02</v>
      </c>
      <c r="D49" s="652">
        <f t="shared" si="3"/>
        <v>142.83000000000001</v>
      </c>
      <c r="E49" s="969">
        <f>IF($E$2=20.5,'S3'!Y49,IF($E$2=21.5,'S3'!Z49,IF($E$2=22.5,'S3'!AA49,IF($E$2=23.5,'S3'!AB49,IF($E$2=24.5,'S3'!AC49,IF($E$2=25.5,'S3'!AD49,IF($E$2=26.5,'S3'!AE49,IF($E$2=27.5,'S3'!AF49,IF($E$2=28.5,'S3'!AG49,IF($E$2=29.5,'S3'!AH49,IF($E$2=30.5,'S3'!AI49,IF($E$2=31.5,'S3'!AJ49))))))))))))</f>
        <v>62.51</v>
      </c>
      <c r="F49" s="652">
        <f t="shared" si="0"/>
        <v>87.51</v>
      </c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2:73" ht="21.75">
      <c r="B50" s="646">
        <v>46</v>
      </c>
      <c r="C50" s="652">
        <f>IF($C$2=20.5,'S3'!A50,IF($C$2=21.5,'S3'!B50,IF($C$2=22.5,'S3'!C50,IF($C$2=23.5,'S3'!D50,IF($C$2=24.5,'S3'!E50,IF($C$2=25.5,'S3'!F50,IF($C$2=26.5,'S3'!G50,IF($C$2=27.5,'S3'!H50,IF($C$2=28.5,'S3'!I50,IF($C$2=29.5,'S3'!J50,IF($C$2=30.5,'S3'!K50,IF($C$2=31.5,'S3'!L50))))))))))))</f>
        <v>104.27</v>
      </c>
      <c r="D50" s="652">
        <f t="shared" si="3"/>
        <v>145.97999999999999</v>
      </c>
      <c r="E50" s="969">
        <f>IF($E$2=20.5,'S3'!Y50,IF($E$2=21.5,'S3'!Z50,IF($E$2=22.5,'S3'!AA50,IF($E$2=23.5,'S3'!AB50,IF($E$2=24.5,'S3'!AC50,IF($E$2=25.5,'S3'!AD50,IF($E$2=26.5,'S3'!AE50,IF($E$2=27.5,'S3'!AF50,IF($E$2=28.5,'S3'!AG50,IF($E$2=29.5,'S3'!AH50,IF($E$2=30.5,'S3'!AI50,IF($E$2=31.5,'S3'!AJ50))))))))))))</f>
        <v>63.89</v>
      </c>
      <c r="F50" s="652">
        <f t="shared" si="0"/>
        <v>89.45</v>
      </c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2:73" ht="21.75">
      <c r="B51" s="646">
        <v>47</v>
      </c>
      <c r="C51" s="652">
        <f>IF($C$2=20.5,'S3'!A51,IF($C$2=21.5,'S3'!B51,IF($C$2=22.5,'S3'!C51,IF($C$2=23.5,'S3'!D51,IF($C$2=24.5,'S3'!E51,IF($C$2=25.5,'S3'!F51,IF($C$2=26.5,'S3'!G51,IF($C$2=27.5,'S3'!H51,IF($C$2=28.5,'S3'!I51,IF($C$2=29.5,'S3'!J51,IF($C$2=30.5,'S3'!K51,IF($C$2=31.5,'S3'!L51))))))))))))</f>
        <v>106.5</v>
      </c>
      <c r="D51" s="652">
        <f t="shared" si="3"/>
        <v>149.1</v>
      </c>
      <c r="E51" s="969">
        <f>IF($E$2=20.5,'S3'!Y51,IF($E$2=21.5,'S3'!Z51,IF($E$2=22.5,'S3'!AA51,IF($E$2=23.5,'S3'!AB51,IF($E$2=24.5,'S3'!AC51,IF($E$2=25.5,'S3'!AD51,IF($E$2=26.5,'S3'!AE51,IF($E$2=27.5,'S3'!AF51,IF($E$2=28.5,'S3'!AG51,IF($E$2=29.5,'S3'!AH51,IF($E$2=30.5,'S3'!AI51,IF($E$2=31.5,'S3'!AJ51))))))))))))</f>
        <v>65.260000000000005</v>
      </c>
      <c r="F51" s="652">
        <f t="shared" si="0"/>
        <v>91.36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</row>
    <row r="52" spans="2:73" ht="21.75">
      <c r="B52" s="646">
        <v>48</v>
      </c>
      <c r="C52" s="652">
        <f>IF($C$2=20.5,'S3'!A52,IF($C$2=21.5,'S3'!B52,IF($C$2=22.5,'S3'!C52,IF($C$2=23.5,'S3'!D52,IF($C$2=24.5,'S3'!E52,IF($C$2=25.5,'S3'!F52,IF($C$2=26.5,'S3'!G52,IF($C$2=27.5,'S3'!H52,IF($C$2=28.5,'S3'!I52,IF($C$2=29.5,'S3'!J52,IF($C$2=30.5,'S3'!K52,IF($C$2=31.5,'S3'!L52))))))))))))</f>
        <v>108.74</v>
      </c>
      <c r="D52" s="652">
        <f t="shared" si="3"/>
        <v>152.24</v>
      </c>
      <c r="E52" s="969">
        <f>IF($E$2=20.5,'S3'!Y52,IF($E$2=21.5,'S3'!Z52,IF($E$2=22.5,'S3'!AA52,IF($E$2=23.5,'S3'!AB52,IF($E$2=24.5,'S3'!AC52,IF($E$2=25.5,'S3'!AD52,IF($E$2=26.5,'S3'!AE52,IF($E$2=27.5,'S3'!AF52,IF($E$2=28.5,'S3'!AG52,IF($E$2=29.5,'S3'!AH52,IF($E$2=30.5,'S3'!AI52,IF($E$2=31.5,'S3'!AJ52))))))))))))</f>
        <v>66.63</v>
      </c>
      <c r="F52" s="652">
        <f t="shared" si="0"/>
        <v>93.28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</row>
    <row r="53" spans="2:73" ht="21.75">
      <c r="B53" s="646">
        <v>49</v>
      </c>
      <c r="C53" s="652">
        <f>IF($C$2=20.5,'S3'!A53,IF($C$2=21.5,'S3'!B53,IF($C$2=22.5,'S3'!C53,IF($C$2=23.5,'S3'!D53,IF($C$2=24.5,'S3'!E53,IF($C$2=25.5,'S3'!F53,IF($C$2=26.5,'S3'!G53,IF($C$2=27.5,'S3'!H53,IF($C$2=28.5,'S3'!I53,IF($C$2=29.5,'S3'!J53,IF($C$2=30.5,'S3'!K53,IF($C$2=31.5,'S3'!L53))))))))))))</f>
        <v>110.96</v>
      </c>
      <c r="D53" s="652">
        <f t="shared" si="3"/>
        <v>155.34</v>
      </c>
      <c r="E53" s="969">
        <f>IF($E$2=20.5,'S3'!Y53,IF($E$2=21.5,'S3'!Z53,IF($E$2=22.5,'S3'!AA53,IF($E$2=23.5,'S3'!AB53,IF($E$2=24.5,'S3'!AC53,IF($E$2=25.5,'S3'!AD53,IF($E$2=26.5,'S3'!AE53,IF($E$2=27.5,'S3'!AF53,IF($E$2=28.5,'S3'!AG53,IF($E$2=29.5,'S3'!AH53,IF($E$2=30.5,'S3'!AI53,IF($E$2=31.5,'S3'!AJ53))))))))))))</f>
        <v>68.010000000000005</v>
      </c>
      <c r="F53" s="652">
        <f t="shared" si="0"/>
        <v>95.21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</row>
    <row r="54" spans="2:73" ht="21.75">
      <c r="B54" s="646">
        <v>50</v>
      </c>
      <c r="C54" s="652">
        <f>IF($C$2=20.5,'S3'!A54,IF($C$2=21.5,'S3'!B54,IF($C$2=22.5,'S3'!C54,IF($C$2=23.5,'S3'!D54,IF($C$2=24.5,'S3'!E54,IF($C$2=25.5,'S3'!F54,IF($C$2=26.5,'S3'!G54,IF($C$2=27.5,'S3'!H54,IF($C$2=28.5,'S3'!I54,IF($C$2=29.5,'S3'!J54,IF($C$2=30.5,'S3'!K54,IF($C$2=31.5,'S3'!L54))))))))))))</f>
        <v>113.2</v>
      </c>
      <c r="D54" s="652">
        <f t="shared" si="3"/>
        <v>158.47999999999999</v>
      </c>
      <c r="E54" s="969">
        <f>IF($E$2=20.5,'S3'!Y54,IF($E$2=21.5,'S3'!Z54,IF($E$2=22.5,'S3'!AA54,IF($E$2=23.5,'S3'!AB54,IF($E$2=24.5,'S3'!AC54,IF($E$2=25.5,'S3'!AD54,IF($E$2=26.5,'S3'!AE54,IF($E$2=27.5,'S3'!AF54,IF($E$2=28.5,'S3'!AG54,IF($E$2=29.5,'S3'!AH54,IF($E$2=30.5,'S3'!AI54,IF($E$2=31.5,'S3'!AJ54))))))))))))</f>
        <v>69.39</v>
      </c>
      <c r="F54" s="652">
        <f t="shared" si="0"/>
        <v>97.15</v>
      </c>
      <c r="BI54"/>
      <c r="BJ54"/>
      <c r="BK54"/>
      <c r="BL54"/>
      <c r="BM54"/>
      <c r="BN54"/>
      <c r="BO54"/>
      <c r="BP54"/>
      <c r="BQ54"/>
      <c r="BR54"/>
      <c r="BS54"/>
      <c r="BT54"/>
      <c r="BU54"/>
    </row>
    <row r="55" spans="2:73" ht="21.75">
      <c r="B55" s="646">
        <v>51</v>
      </c>
      <c r="C55" s="652">
        <f>IF($C$2=20.5,'S3'!A55,IF($C$2=21.5,'S3'!B55,IF($C$2=22.5,'S3'!C55,IF($C$2=23.5,'S3'!D55,IF($C$2=24.5,'S3'!E55,IF($C$2=25.5,'S3'!F55,IF($C$2=26.5,'S3'!G55,IF($C$2=27.5,'S3'!H55,IF($C$2=28.5,'S3'!I55,IF($C$2=29.5,'S3'!J55,IF($C$2=30.5,'S3'!K55,IF($C$2=31.5,'S3'!L55))))))))))))</f>
        <v>115.46</v>
      </c>
      <c r="D55" s="652">
        <f t="shared" si="3"/>
        <v>161.63999999999999</v>
      </c>
      <c r="E55" s="969">
        <f>IF($E$2=20.5,'S3'!Y55,IF($E$2=21.5,'S3'!Z55,IF($E$2=22.5,'S3'!AA55,IF($E$2=23.5,'S3'!AB55,IF($E$2=24.5,'S3'!AC55,IF($E$2=25.5,'S3'!AD55,IF($E$2=26.5,'S3'!AE55,IF($E$2=27.5,'S3'!AF55,IF($E$2=28.5,'S3'!AG55,IF($E$2=29.5,'S3'!AH55,IF($E$2=30.5,'S3'!AI55,IF($E$2=31.5,'S3'!AJ55))))))))))))</f>
        <v>70.760000000000005</v>
      </c>
      <c r="F55" s="652">
        <f t="shared" si="0"/>
        <v>99.06</v>
      </c>
      <c r="BI55"/>
      <c r="BJ55"/>
      <c r="BK55"/>
      <c r="BL55"/>
      <c r="BM55"/>
      <c r="BN55"/>
      <c r="BO55"/>
      <c r="BP55"/>
      <c r="BQ55"/>
      <c r="BR55"/>
      <c r="BS55"/>
      <c r="BT55"/>
      <c r="BU55"/>
    </row>
    <row r="56" spans="2:73" ht="21.75">
      <c r="B56" s="646">
        <v>52</v>
      </c>
      <c r="C56" s="652">
        <f>IF($C$2=20.5,'S3'!A56,IF($C$2=21.5,'S3'!B56,IF($C$2=22.5,'S3'!C56,IF($C$2=23.5,'S3'!D56,IF($C$2=24.5,'S3'!E56,IF($C$2=25.5,'S3'!F56,IF($C$2=26.5,'S3'!G56,IF($C$2=27.5,'S3'!H56,IF($C$2=28.5,'S3'!I56,IF($C$2=29.5,'S3'!J56,IF($C$2=30.5,'S3'!K56,IF($C$2=31.5,'S3'!L56))))))))))))</f>
        <v>117.68</v>
      </c>
      <c r="D56" s="652">
        <f t="shared" si="3"/>
        <v>164.75</v>
      </c>
      <c r="E56" s="969">
        <f>IF($E$2=20.5,'S3'!Y56,IF($E$2=21.5,'S3'!Z56,IF($E$2=22.5,'S3'!AA56,IF($E$2=23.5,'S3'!AB56,IF($E$2=24.5,'S3'!AC56,IF($E$2=25.5,'S3'!AD56,IF($E$2=26.5,'S3'!AE56,IF($E$2=27.5,'S3'!AF56,IF($E$2=28.5,'S3'!AG56,IF($E$2=29.5,'S3'!AH56,IF($E$2=30.5,'S3'!AI56,IF($E$2=31.5,'S3'!AJ56))))))))))))</f>
        <v>72.13</v>
      </c>
      <c r="F56" s="652">
        <f t="shared" si="0"/>
        <v>100.98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</row>
    <row r="57" spans="2:73" ht="21.75">
      <c r="B57" s="646">
        <v>53</v>
      </c>
      <c r="C57" s="652">
        <f>IF($C$2=20.5,'S3'!A57,IF($C$2=21.5,'S3'!B57,IF($C$2=22.5,'S3'!C57,IF($C$2=23.5,'S3'!D57,IF($C$2=24.5,'S3'!E57,IF($C$2=25.5,'S3'!F57,IF($C$2=26.5,'S3'!G57,IF($C$2=27.5,'S3'!H57,IF($C$2=28.5,'S3'!I57,IF($C$2=29.5,'S3'!J57,IF($C$2=30.5,'S3'!K57,IF($C$2=31.5,'S3'!L57))))))))))))</f>
        <v>119.92</v>
      </c>
      <c r="D57" s="652">
        <f t="shared" si="3"/>
        <v>167.89</v>
      </c>
      <c r="E57" s="969">
        <f>IF($E$2=20.5,'S3'!Y57,IF($E$2=21.5,'S3'!Z57,IF($E$2=22.5,'S3'!AA57,IF($E$2=23.5,'S3'!AB57,IF($E$2=24.5,'S3'!AC57,IF($E$2=25.5,'S3'!AD57,IF($E$2=26.5,'S3'!AE57,IF($E$2=27.5,'S3'!AF57,IF($E$2=28.5,'S3'!AG57,IF($E$2=29.5,'S3'!AH57,IF($E$2=30.5,'S3'!AI57,IF($E$2=31.5,'S3'!AJ57))))))))))))</f>
        <v>73.510000000000005</v>
      </c>
      <c r="F57" s="652">
        <f t="shared" si="0"/>
        <v>102.91</v>
      </c>
      <c r="BI57"/>
      <c r="BJ57"/>
      <c r="BK57"/>
      <c r="BL57"/>
      <c r="BM57"/>
      <c r="BN57"/>
      <c r="BO57"/>
      <c r="BP57"/>
      <c r="BQ57"/>
      <c r="BR57"/>
      <c r="BS57"/>
      <c r="BT57"/>
      <c r="BU57"/>
    </row>
    <row r="58" spans="2:73" ht="21.75">
      <c r="B58" s="646">
        <v>54</v>
      </c>
      <c r="C58" s="652">
        <f>IF($C$2=20.5,'S3'!A58,IF($C$2=21.5,'S3'!B58,IF($C$2=22.5,'S3'!C58,IF($C$2=23.5,'S3'!D58,IF($C$2=24.5,'S3'!E58,IF($C$2=25.5,'S3'!F58,IF($C$2=26.5,'S3'!G58,IF($C$2=27.5,'S3'!H58,IF($C$2=28.5,'S3'!I58,IF($C$2=29.5,'S3'!J58,IF($C$2=30.5,'S3'!K58,IF($C$2=31.5,'S3'!L58))))))))))))</f>
        <v>122.18</v>
      </c>
      <c r="D58" s="652">
        <f t="shared" si="3"/>
        <v>171.05</v>
      </c>
      <c r="E58" s="969">
        <f>IF($E$2=20.5,'S3'!Y58,IF($E$2=21.5,'S3'!Z58,IF($E$2=22.5,'S3'!AA58,IF($E$2=23.5,'S3'!AB58,IF($E$2=24.5,'S3'!AC58,IF($E$2=25.5,'S3'!AD58,IF($E$2=26.5,'S3'!AE58,IF($E$2=27.5,'S3'!AF58,IF($E$2=28.5,'S3'!AG58,IF($E$2=29.5,'S3'!AH58,IF($E$2=30.5,'S3'!AI58,IF($E$2=31.5,'S3'!AJ58))))))))))))</f>
        <v>74.88</v>
      </c>
      <c r="F58" s="652">
        <f t="shared" si="0"/>
        <v>104.83</v>
      </c>
      <c r="BI58"/>
      <c r="BJ58"/>
      <c r="BK58"/>
      <c r="BL58"/>
      <c r="BM58"/>
      <c r="BN58"/>
      <c r="BO58"/>
      <c r="BP58"/>
      <c r="BQ58"/>
      <c r="BR58"/>
      <c r="BS58"/>
      <c r="BT58"/>
      <c r="BU58"/>
    </row>
    <row r="59" spans="2:73" ht="21.75">
      <c r="B59" s="646">
        <v>55</v>
      </c>
      <c r="C59" s="652">
        <f>IF($C$2=20.5,'S3'!A59,IF($C$2=21.5,'S3'!B59,IF($C$2=22.5,'S3'!C59,IF($C$2=23.5,'S3'!D59,IF($C$2=24.5,'S3'!E59,IF($C$2=25.5,'S3'!F59,IF($C$2=26.5,'S3'!G59,IF($C$2=27.5,'S3'!H59,IF($C$2=28.5,'S3'!I59,IF($C$2=29.5,'S3'!J59,IF($C$2=30.5,'S3'!K59,IF($C$2=31.5,'S3'!L59))))))))))))</f>
        <v>124.4</v>
      </c>
      <c r="D59" s="652">
        <f t="shared" si="3"/>
        <v>174.16</v>
      </c>
      <c r="E59" s="969">
        <f>IF($E$2=20.5,'S3'!Y59,IF($E$2=21.5,'S3'!Z59,IF($E$2=22.5,'S3'!AA59,IF($E$2=23.5,'S3'!AB59,IF($E$2=24.5,'S3'!AC59,IF($E$2=25.5,'S3'!AD59,IF($E$2=26.5,'S3'!AE59,IF($E$2=27.5,'S3'!AF59,IF($E$2=28.5,'S3'!AG59,IF($E$2=29.5,'S3'!AH59,IF($E$2=30.5,'S3'!AI59,IF($E$2=31.5,'S3'!AJ59))))))))))))</f>
        <v>76.260000000000005</v>
      </c>
      <c r="F59" s="652">
        <f t="shared" si="0"/>
        <v>106.76</v>
      </c>
      <c r="BI59"/>
      <c r="BJ59"/>
      <c r="BK59"/>
      <c r="BL59"/>
      <c r="BM59"/>
      <c r="BN59"/>
      <c r="BO59"/>
      <c r="BP59"/>
      <c r="BQ59"/>
      <c r="BR59"/>
      <c r="BS59"/>
      <c r="BT59"/>
      <c r="BU59"/>
    </row>
    <row r="60" spans="2:73" ht="21.75">
      <c r="B60" s="646">
        <v>56</v>
      </c>
      <c r="C60" s="652">
        <f>IF($C$2=20.5,'S3'!A60,IF($C$2=21.5,'S3'!B60,IF($C$2=22.5,'S3'!C60,IF($C$2=23.5,'S3'!D60,IF($C$2=24.5,'S3'!E60,IF($C$2=25.5,'S3'!F60,IF($C$2=26.5,'S3'!G60,IF($C$2=27.5,'S3'!H60,IF($C$2=28.5,'S3'!I60,IF($C$2=29.5,'S3'!J60,IF($C$2=30.5,'S3'!K60,IF($C$2=31.5,'S3'!L60))))))))))))</f>
        <v>126.63</v>
      </c>
      <c r="D60" s="652">
        <f t="shared" si="3"/>
        <v>177.28</v>
      </c>
      <c r="E60" s="969">
        <f>IF($E$2=20.5,'S3'!Y60,IF($E$2=21.5,'S3'!Z60,IF($E$2=22.5,'S3'!AA60,IF($E$2=23.5,'S3'!AB60,IF($E$2=24.5,'S3'!AC60,IF($E$2=25.5,'S3'!AD60,IF($E$2=26.5,'S3'!AE60,IF($E$2=27.5,'S3'!AF60,IF($E$2=28.5,'S3'!AG60,IF($E$2=29.5,'S3'!AH60,IF($E$2=30.5,'S3'!AI60,IF($E$2=31.5,'S3'!AJ60))))))))))))</f>
        <v>77.63</v>
      </c>
      <c r="F60" s="652">
        <f t="shared" si="0"/>
        <v>108.68</v>
      </c>
      <c r="BI60"/>
      <c r="BJ60"/>
      <c r="BK60"/>
      <c r="BL60"/>
      <c r="BM60"/>
      <c r="BN60"/>
      <c r="BO60"/>
      <c r="BP60"/>
      <c r="BQ60"/>
      <c r="BR60"/>
      <c r="BS60"/>
      <c r="BT60"/>
      <c r="BU60"/>
    </row>
    <row r="61" spans="2:73" ht="21.75">
      <c r="B61" s="646">
        <v>57</v>
      </c>
      <c r="C61" s="652">
        <f>IF($C$2=20.5,'S3'!A61,IF($C$2=21.5,'S3'!B61,IF($C$2=22.5,'S3'!C61,IF($C$2=23.5,'S3'!D61,IF($C$2=24.5,'S3'!E61,IF($C$2=25.5,'S3'!F61,IF($C$2=26.5,'S3'!G61,IF($C$2=27.5,'S3'!H61,IF($C$2=28.5,'S3'!I61,IF($C$2=29.5,'S3'!J61,IF($C$2=30.5,'S3'!K61,IF($C$2=31.5,'S3'!L61))))))))))))</f>
        <v>128.88</v>
      </c>
      <c r="D61" s="652">
        <f t="shared" si="3"/>
        <v>180.43</v>
      </c>
      <c r="E61" s="969">
        <f>IF($E$2=20.5,'S3'!Y61,IF($E$2=21.5,'S3'!Z61,IF($E$2=22.5,'S3'!AA61,IF($E$2=23.5,'S3'!AB61,IF($E$2=24.5,'S3'!AC61,IF($E$2=25.5,'S3'!AD61,IF($E$2=26.5,'S3'!AE61,IF($E$2=27.5,'S3'!AF61,IF($E$2=28.5,'S3'!AG61,IF($E$2=29.5,'S3'!AH61,IF($E$2=30.5,'S3'!AI61,IF($E$2=31.5,'S3'!AJ61))))))))))))</f>
        <v>79.010000000000005</v>
      </c>
      <c r="F61" s="652">
        <f t="shared" si="0"/>
        <v>110.61</v>
      </c>
      <c r="BI61"/>
      <c r="BJ61"/>
      <c r="BK61"/>
      <c r="BL61"/>
      <c r="BM61"/>
      <c r="BN61"/>
      <c r="BO61"/>
      <c r="BP61"/>
      <c r="BQ61"/>
      <c r="BR61"/>
      <c r="BS61"/>
      <c r="BT61"/>
      <c r="BU61"/>
    </row>
    <row r="62" spans="2:73" ht="21.75">
      <c r="B62" s="646">
        <v>58</v>
      </c>
      <c r="C62" s="652">
        <f>IF($C$2=20.5,'S3'!A62,IF($C$2=21.5,'S3'!B62,IF($C$2=22.5,'S3'!C62,IF($C$2=23.5,'S3'!D62,IF($C$2=24.5,'S3'!E62,IF($C$2=25.5,'S3'!F62,IF($C$2=26.5,'S3'!G62,IF($C$2=27.5,'S3'!H62,IF($C$2=28.5,'S3'!I62,IF($C$2=29.5,'S3'!J62,IF($C$2=30.5,'S3'!K62,IF($C$2=31.5,'S3'!L62))))))))))))</f>
        <v>131.15</v>
      </c>
      <c r="D62" s="652">
        <f t="shared" si="3"/>
        <v>183.61</v>
      </c>
      <c r="E62" s="969">
        <f>IF($E$2=20.5,'S3'!Y62,IF($E$2=21.5,'S3'!Z62,IF($E$2=22.5,'S3'!AA62,IF($E$2=23.5,'S3'!AB62,IF($E$2=24.5,'S3'!AC62,IF($E$2=25.5,'S3'!AD62,IF($E$2=26.5,'S3'!AE62,IF($E$2=27.5,'S3'!AF62,IF($E$2=28.5,'S3'!AG62,IF($E$2=29.5,'S3'!AH62,IF($E$2=30.5,'S3'!AI62,IF($E$2=31.5,'S3'!AJ62))))))))))))</f>
        <v>80.38</v>
      </c>
      <c r="F62" s="652">
        <f t="shared" si="0"/>
        <v>112.53</v>
      </c>
      <c r="BI62"/>
      <c r="BJ62"/>
      <c r="BK62"/>
      <c r="BL62"/>
      <c r="BM62"/>
      <c r="BN62"/>
      <c r="BO62"/>
      <c r="BP62"/>
      <c r="BQ62"/>
      <c r="BR62"/>
      <c r="BS62"/>
      <c r="BT62"/>
      <c r="BU62"/>
    </row>
    <row r="63" spans="2:73" ht="21.75">
      <c r="B63" s="646">
        <v>59</v>
      </c>
      <c r="C63" s="652">
        <f>IF($C$2=20.5,'S3'!A63,IF($C$2=21.5,'S3'!B63,IF($C$2=22.5,'S3'!C63,IF($C$2=23.5,'S3'!D63,IF($C$2=24.5,'S3'!E63,IF($C$2=25.5,'S3'!F63,IF($C$2=26.5,'S3'!G63,IF($C$2=27.5,'S3'!H63,IF($C$2=28.5,'S3'!I63,IF($C$2=29.5,'S3'!J63,IF($C$2=30.5,'S3'!K63,IF($C$2=31.5,'S3'!L63))))))))))))</f>
        <v>133.37</v>
      </c>
      <c r="D63" s="652">
        <f t="shared" si="3"/>
        <v>186.72</v>
      </c>
      <c r="E63" s="969">
        <f>IF($E$2=20.5,'S3'!Y63,IF($E$2=21.5,'S3'!Z63,IF($E$2=22.5,'S3'!AA63,IF($E$2=23.5,'S3'!AB63,IF($E$2=24.5,'S3'!AC63,IF($E$2=25.5,'S3'!AD63,IF($E$2=26.5,'S3'!AE63,IF($E$2=27.5,'S3'!AF63,IF($E$2=28.5,'S3'!AG63,IF($E$2=29.5,'S3'!AH63,IF($E$2=30.5,'S3'!AI63,IF($E$2=31.5,'S3'!AJ63))))))))))))</f>
        <v>81.760000000000005</v>
      </c>
      <c r="F63" s="652">
        <f t="shared" si="0"/>
        <v>114.46</v>
      </c>
      <c r="BI63"/>
      <c r="BJ63"/>
      <c r="BK63"/>
      <c r="BL63"/>
      <c r="BM63"/>
      <c r="BN63"/>
      <c r="BO63"/>
      <c r="BP63"/>
      <c r="BQ63"/>
      <c r="BR63"/>
      <c r="BS63"/>
      <c r="BT63"/>
      <c r="BU63"/>
    </row>
    <row r="64" spans="2:73" ht="21.75">
      <c r="B64" s="646">
        <v>60</v>
      </c>
      <c r="C64" s="652">
        <f>IF($C$2=20.5,'S3'!A64,IF($C$2=21.5,'S3'!B64,IF($C$2=22.5,'S3'!C64,IF($C$2=23.5,'S3'!D64,IF($C$2=24.5,'S3'!E64,IF($C$2=25.5,'S3'!F64,IF($C$2=26.5,'S3'!G64,IF($C$2=27.5,'S3'!H64,IF($C$2=28.5,'S3'!I64,IF($C$2=29.5,'S3'!J64,IF($C$2=30.5,'S3'!K64,IF($C$2=31.5,'S3'!L64))))))))))))</f>
        <v>135.61000000000001</v>
      </c>
      <c r="D64" s="652">
        <f t="shared" si="3"/>
        <v>189.85</v>
      </c>
      <c r="E64" s="969">
        <f>IF($E$2=20.5,'S3'!Y64,IF($E$2=21.5,'S3'!Z64,IF($E$2=22.5,'S3'!AA64,IF($E$2=23.5,'S3'!AB64,IF($E$2=24.5,'S3'!AC64,IF($E$2=25.5,'S3'!AD64,IF($E$2=26.5,'S3'!AE64,IF($E$2=27.5,'S3'!AF64,IF($E$2=28.5,'S3'!AG64,IF($E$2=29.5,'S3'!AH64,IF($E$2=30.5,'S3'!AI64,IF($E$2=31.5,'S3'!AJ64))))))))))))</f>
        <v>83.15</v>
      </c>
      <c r="F64" s="652">
        <f t="shared" si="0"/>
        <v>116.41</v>
      </c>
      <c r="BI64"/>
      <c r="BJ64"/>
      <c r="BK64"/>
      <c r="BL64"/>
      <c r="BM64"/>
      <c r="BN64"/>
      <c r="BO64"/>
      <c r="BP64"/>
      <c r="BQ64"/>
      <c r="BR64"/>
      <c r="BS64"/>
      <c r="BT64"/>
      <c r="BU64"/>
    </row>
    <row r="65" spans="2:73" ht="21.75">
      <c r="B65" s="646">
        <v>61</v>
      </c>
      <c r="C65" s="652">
        <f>IF($C$2=20.5,'S3'!A65,IF($C$2=21.5,'S3'!B65,IF($C$2=22.5,'S3'!C65,IF($C$2=23.5,'S3'!D65,IF($C$2=24.5,'S3'!E65,IF($C$2=25.5,'S3'!F65,IF($C$2=26.5,'S3'!G65,IF($C$2=27.5,'S3'!H65,IF($C$2=28.5,'S3'!I65,IF($C$2=29.5,'S3'!J65,IF($C$2=30.5,'S3'!K65,IF($C$2=31.5,'S3'!L65))))))))))))</f>
        <v>137.86000000000001</v>
      </c>
      <c r="D65" s="652">
        <f t="shared" si="3"/>
        <v>193</v>
      </c>
      <c r="E65" s="969">
        <f>IF($E$2=20.5,'S3'!Y65,IF($E$2=21.5,'S3'!Z65,IF($E$2=22.5,'S3'!AA65,IF($E$2=23.5,'S3'!AB65,IF($E$2=24.5,'S3'!AC65,IF($E$2=25.5,'S3'!AD65,IF($E$2=26.5,'S3'!AE65,IF($E$2=27.5,'S3'!AF65,IF($E$2=28.5,'S3'!AG65,IF($E$2=29.5,'S3'!AH65,IF($E$2=30.5,'S3'!AI65,IF($E$2=31.5,'S3'!AJ65))))))))))))</f>
        <v>84.52</v>
      </c>
      <c r="F65" s="652">
        <f t="shared" si="0"/>
        <v>118.33</v>
      </c>
      <c r="BI65"/>
      <c r="BJ65"/>
      <c r="BK65"/>
      <c r="BL65"/>
      <c r="BM65"/>
      <c r="BN65"/>
      <c r="BO65"/>
      <c r="BP65"/>
      <c r="BQ65"/>
      <c r="BR65"/>
      <c r="BS65"/>
      <c r="BT65"/>
      <c r="BU65"/>
    </row>
    <row r="66" spans="2:73" ht="21.75">
      <c r="B66" s="646">
        <v>62</v>
      </c>
      <c r="C66" s="652">
        <f>IF($C$2=20.5,'S3'!A66,IF($C$2=21.5,'S3'!B66,IF($C$2=22.5,'S3'!C66,IF($C$2=23.5,'S3'!D66,IF($C$2=24.5,'S3'!E66,IF($C$2=25.5,'S3'!F66,IF($C$2=26.5,'S3'!G66,IF($C$2=27.5,'S3'!H66,IF($C$2=28.5,'S3'!I66,IF($C$2=29.5,'S3'!J66,IF($C$2=30.5,'S3'!K66,IF($C$2=31.5,'S3'!L66))))))))))))</f>
        <v>140.12</v>
      </c>
      <c r="D66" s="652">
        <f t="shared" si="3"/>
        <v>196.17</v>
      </c>
      <c r="E66" s="969">
        <f>IF($E$2=20.5,'S3'!Y66,IF($E$2=21.5,'S3'!Z66,IF($E$2=22.5,'S3'!AA66,IF($E$2=23.5,'S3'!AB66,IF($E$2=24.5,'S3'!AC66,IF($E$2=25.5,'S3'!AD66,IF($E$2=26.5,'S3'!AE66,IF($E$2=27.5,'S3'!AF66,IF($E$2=28.5,'S3'!AG66,IF($E$2=29.5,'S3'!AH66,IF($E$2=30.5,'S3'!AI66,IF($E$2=31.5,'S3'!AJ66))))))))))))</f>
        <v>85.89</v>
      </c>
      <c r="F66" s="652">
        <f t="shared" si="0"/>
        <v>120.25</v>
      </c>
      <c r="BI66"/>
      <c r="BJ66"/>
      <c r="BK66"/>
      <c r="BL66"/>
      <c r="BM66"/>
      <c r="BN66"/>
      <c r="BO66"/>
      <c r="BP66"/>
      <c r="BQ66"/>
      <c r="BR66"/>
      <c r="BS66"/>
      <c r="BT66"/>
      <c r="BU66"/>
    </row>
    <row r="67" spans="2:73" ht="21.75">
      <c r="B67" s="646">
        <v>63</v>
      </c>
      <c r="C67" s="652">
        <f>IF($C$2=20.5,'S3'!A67,IF($C$2=21.5,'S3'!B67,IF($C$2=22.5,'S3'!C67,IF($C$2=23.5,'S3'!D67,IF($C$2=24.5,'S3'!E67,IF($C$2=25.5,'S3'!F67,IF($C$2=26.5,'S3'!G67,IF($C$2=27.5,'S3'!H67,IF($C$2=28.5,'S3'!I67,IF($C$2=29.5,'S3'!J67,IF($C$2=30.5,'S3'!K67,IF($C$2=31.5,'S3'!L67))))))))))))</f>
        <v>142.33000000000001</v>
      </c>
      <c r="D67" s="652">
        <f t="shared" si="3"/>
        <v>199.26</v>
      </c>
      <c r="E67" s="969">
        <f>IF($E$2=20.5,'S3'!Y67,IF($E$2=21.5,'S3'!Z67,IF($E$2=22.5,'S3'!AA67,IF($E$2=23.5,'S3'!AB67,IF($E$2=24.5,'S3'!AC67,IF($E$2=25.5,'S3'!AD67,IF($E$2=26.5,'S3'!AE67,IF($E$2=27.5,'S3'!AF67,IF($E$2=28.5,'S3'!AG67,IF($E$2=29.5,'S3'!AH67,IF($E$2=30.5,'S3'!AI67,IF($E$2=31.5,'S3'!AJ67))))))))))))</f>
        <v>87.27</v>
      </c>
      <c r="F67" s="652">
        <f t="shared" si="0"/>
        <v>122.18</v>
      </c>
      <c r="BI67"/>
      <c r="BJ67"/>
      <c r="BK67"/>
      <c r="BL67"/>
      <c r="BM67"/>
      <c r="BN67"/>
      <c r="BO67"/>
      <c r="BP67"/>
      <c r="BQ67"/>
      <c r="BR67"/>
      <c r="BS67"/>
      <c r="BT67"/>
      <c r="BU67"/>
    </row>
    <row r="68" spans="2:73" ht="21.75">
      <c r="B68" s="646">
        <v>64</v>
      </c>
      <c r="C68" s="652">
        <f>IF($C$2=20.5,'S3'!A68,IF($C$2=21.5,'S3'!B68,IF($C$2=22.5,'S3'!C68,IF($C$2=23.5,'S3'!D68,IF($C$2=24.5,'S3'!E68,IF($C$2=25.5,'S3'!F68,IF($C$2=26.5,'S3'!G68,IF($C$2=27.5,'S3'!H68,IF($C$2=28.5,'S3'!I68,IF($C$2=29.5,'S3'!J68,IF($C$2=30.5,'S3'!K68,IF($C$2=31.5,'S3'!L68))))))))))))</f>
        <v>144.55000000000001</v>
      </c>
      <c r="D68" s="652">
        <f t="shared" si="3"/>
        <v>202.37</v>
      </c>
      <c r="E68" s="969">
        <f>IF($E$2=20.5,'S3'!Y68,IF($E$2=21.5,'S3'!Z68,IF($E$2=22.5,'S3'!AA68,IF($E$2=23.5,'S3'!AB68,IF($E$2=24.5,'S3'!AC68,IF($E$2=25.5,'S3'!AD68,IF($E$2=26.5,'S3'!AE68,IF($E$2=27.5,'S3'!AF68,IF($E$2=28.5,'S3'!AG68,IF($E$2=29.5,'S3'!AH68,IF($E$2=30.5,'S3'!AI68,IF($E$2=31.5,'S3'!AJ68))))))))))))</f>
        <v>88.65</v>
      </c>
      <c r="F68" s="652">
        <f t="shared" si="0"/>
        <v>124.11</v>
      </c>
      <c r="BI68"/>
      <c r="BJ68"/>
      <c r="BK68"/>
      <c r="BL68"/>
      <c r="BM68"/>
      <c r="BN68"/>
      <c r="BO68"/>
      <c r="BP68"/>
      <c r="BQ68"/>
      <c r="BR68"/>
      <c r="BS68"/>
      <c r="BT68"/>
      <c r="BU68"/>
    </row>
    <row r="69" spans="2:73" ht="21.75">
      <c r="B69" s="646">
        <v>65</v>
      </c>
      <c r="C69" s="652">
        <f>IF($C$2=20.5,'S3'!A69,IF($C$2=21.5,'S3'!B69,IF($C$2=22.5,'S3'!C69,IF($C$2=23.5,'S3'!D69,IF($C$2=24.5,'S3'!E69,IF($C$2=25.5,'S3'!F69,IF($C$2=26.5,'S3'!G69,IF($C$2=27.5,'S3'!H69,IF($C$2=28.5,'S3'!I69,IF($C$2=29.5,'S3'!J69,IF($C$2=30.5,'S3'!K69,IF($C$2=31.5,'S3'!L69))))))))))))</f>
        <v>146.79</v>
      </c>
      <c r="D69" s="652">
        <f t="shared" si="3"/>
        <v>205.51</v>
      </c>
      <c r="E69" s="969">
        <f>IF($E$2=20.5,'S3'!Y69,IF($E$2=21.5,'S3'!Z69,IF($E$2=22.5,'S3'!AA69,IF($E$2=23.5,'S3'!AB69,IF($E$2=24.5,'S3'!AC69,IF($E$2=25.5,'S3'!AD69,IF($E$2=26.5,'S3'!AE69,IF($E$2=27.5,'S3'!AF69,IF($E$2=28.5,'S3'!AG69,IF($E$2=29.5,'S3'!AH69,IF($E$2=30.5,'S3'!AI69,IF($E$2=31.5,'S3'!AJ69))))))))))))</f>
        <v>90.01</v>
      </c>
      <c r="F69" s="652">
        <f t="shared" si="0"/>
        <v>126.01</v>
      </c>
      <c r="BI69"/>
      <c r="BJ69"/>
      <c r="BK69"/>
      <c r="BL69"/>
      <c r="BM69"/>
      <c r="BN69"/>
      <c r="BO69"/>
      <c r="BP69"/>
      <c r="BQ69"/>
      <c r="BR69"/>
      <c r="BS69"/>
      <c r="BT69"/>
      <c r="BU69"/>
    </row>
    <row r="70" spans="2:73" ht="21.75">
      <c r="B70" s="646">
        <v>66</v>
      </c>
      <c r="C70" s="652">
        <f>IF($C$2=20.5,'S3'!A70,IF($C$2=21.5,'S3'!B70,IF($C$2=22.5,'S3'!C70,IF($C$2=23.5,'S3'!D70,IF($C$2=24.5,'S3'!E70,IF($C$2=25.5,'S3'!F70,IF($C$2=26.5,'S3'!G70,IF($C$2=27.5,'S3'!H70,IF($C$2=28.5,'S3'!I70,IF($C$2=29.5,'S3'!J70,IF($C$2=30.5,'S3'!K70,IF($C$2=31.5,'S3'!L70))))))))))))</f>
        <v>149.04</v>
      </c>
      <c r="D70" s="652">
        <f t="shared" si="3"/>
        <v>208.66</v>
      </c>
      <c r="E70" s="969">
        <f>IF($E$2=20.5,'S3'!Y70,IF($E$2=21.5,'S3'!Z70,IF($E$2=22.5,'S3'!AA70,IF($E$2=23.5,'S3'!AB70,IF($E$2=24.5,'S3'!AC70,IF($E$2=25.5,'S3'!AD70,IF($E$2=26.5,'S3'!AE70,IF($E$2=27.5,'S3'!AF70,IF($E$2=28.5,'S3'!AG70,IF($E$2=29.5,'S3'!AH70,IF($E$2=30.5,'S3'!AI70,IF($E$2=31.5,'S3'!AJ70))))))))))))</f>
        <v>91.4</v>
      </c>
      <c r="F70" s="652">
        <f t="shared" ref="F70:F133" si="9">ROUND(E70*1.4,2)</f>
        <v>127.96</v>
      </c>
      <c r="BI70"/>
      <c r="BJ70"/>
      <c r="BK70"/>
      <c r="BL70"/>
      <c r="BM70"/>
      <c r="BN70"/>
      <c r="BO70"/>
      <c r="BP70"/>
      <c r="BQ70"/>
      <c r="BR70"/>
      <c r="BS70"/>
      <c r="BT70"/>
      <c r="BU70"/>
    </row>
    <row r="71" spans="2:73" ht="21.75">
      <c r="B71" s="646">
        <v>67</v>
      </c>
      <c r="C71" s="652">
        <f>IF($C$2=20.5,'S3'!A71,IF($C$2=21.5,'S3'!B71,IF($C$2=22.5,'S3'!C71,IF($C$2=23.5,'S3'!D71,IF($C$2=24.5,'S3'!E71,IF($C$2=25.5,'S3'!F71,IF($C$2=26.5,'S3'!G71,IF($C$2=27.5,'S3'!H71,IF($C$2=28.5,'S3'!I71,IF($C$2=29.5,'S3'!J71,IF($C$2=30.5,'S3'!K71,IF($C$2=31.5,'S3'!L71))))))))))))</f>
        <v>151.30000000000001</v>
      </c>
      <c r="D71" s="652">
        <f t="shared" ref="D71:D134" si="10">ROUND(C71*1.4,2)</f>
        <v>211.82</v>
      </c>
      <c r="E71" s="969">
        <f>IF($E$2=20.5,'S3'!Y71,IF($E$2=21.5,'S3'!Z71,IF($E$2=22.5,'S3'!AA71,IF($E$2=23.5,'S3'!AB71,IF($E$2=24.5,'S3'!AC71,IF($E$2=25.5,'S3'!AD71,IF($E$2=26.5,'S3'!AE71,IF($E$2=27.5,'S3'!AF71,IF($E$2=28.5,'S3'!AG71,IF($E$2=29.5,'S3'!AH71,IF($E$2=30.5,'S3'!AI71,IF($E$2=31.5,'S3'!AJ71))))))))))))</f>
        <v>92.76</v>
      </c>
      <c r="F71" s="652">
        <f t="shared" si="9"/>
        <v>129.86000000000001</v>
      </c>
      <c r="BI71"/>
      <c r="BJ71"/>
      <c r="BK71"/>
      <c r="BL71"/>
      <c r="BM71"/>
      <c r="BN71"/>
      <c r="BO71"/>
      <c r="BP71"/>
      <c r="BQ71"/>
      <c r="BR71"/>
      <c r="BS71"/>
      <c r="BT71"/>
      <c r="BU71"/>
    </row>
    <row r="72" spans="2:73" ht="21.75">
      <c r="B72" s="646">
        <v>68</v>
      </c>
      <c r="C72" s="652">
        <f>IF($C$2=20.5,'S3'!A72,IF($C$2=21.5,'S3'!B72,IF($C$2=22.5,'S3'!C72,IF($C$2=23.5,'S3'!D72,IF($C$2=24.5,'S3'!E72,IF($C$2=25.5,'S3'!F72,IF($C$2=26.5,'S3'!G72,IF($C$2=27.5,'S3'!H72,IF($C$2=28.5,'S3'!I72,IF($C$2=29.5,'S3'!J72,IF($C$2=30.5,'S3'!K72,IF($C$2=31.5,'S3'!L72))))))))))))</f>
        <v>153.49</v>
      </c>
      <c r="D72" s="652">
        <f t="shared" si="10"/>
        <v>214.89</v>
      </c>
      <c r="E72" s="969">
        <f>IF($E$2=20.5,'S3'!Y72,IF($E$2=21.5,'S3'!Z72,IF($E$2=22.5,'S3'!AA72,IF($E$2=23.5,'S3'!AB72,IF($E$2=24.5,'S3'!AC72,IF($E$2=25.5,'S3'!AD72,IF($E$2=26.5,'S3'!AE72,IF($E$2=27.5,'S3'!AF72,IF($E$2=28.5,'S3'!AG72,IF($E$2=29.5,'S3'!AH72,IF($E$2=30.5,'S3'!AI72,IF($E$2=31.5,'S3'!AJ72))))))))))))</f>
        <v>94.14</v>
      </c>
      <c r="F72" s="652">
        <f t="shared" si="9"/>
        <v>131.80000000000001</v>
      </c>
      <c r="BI72"/>
      <c r="BJ72"/>
      <c r="BK72"/>
      <c r="BL72"/>
      <c r="BM72"/>
      <c r="BN72"/>
      <c r="BO72"/>
      <c r="BP72"/>
      <c r="BQ72"/>
      <c r="BR72"/>
      <c r="BS72"/>
      <c r="BT72"/>
      <c r="BU72"/>
    </row>
    <row r="73" spans="2:73" ht="21.75">
      <c r="B73" s="646">
        <v>69</v>
      </c>
      <c r="C73" s="652">
        <f>IF($C$2=20.5,'S3'!A73,IF($C$2=21.5,'S3'!B73,IF($C$2=22.5,'S3'!C73,IF($C$2=23.5,'S3'!D73,IF($C$2=24.5,'S3'!E73,IF($C$2=25.5,'S3'!F73,IF($C$2=26.5,'S3'!G73,IF($C$2=27.5,'S3'!H73,IF($C$2=28.5,'S3'!I73,IF($C$2=29.5,'S3'!J73,IF($C$2=30.5,'S3'!K73,IF($C$2=31.5,'S3'!L73))))))))))))</f>
        <v>155.78</v>
      </c>
      <c r="D73" s="652">
        <f t="shared" si="10"/>
        <v>218.09</v>
      </c>
      <c r="E73" s="969">
        <f>IF($E$2=20.5,'S3'!Y73,IF($E$2=21.5,'S3'!Z73,IF($E$2=22.5,'S3'!AA73,IF($E$2=23.5,'S3'!AB73,IF($E$2=24.5,'S3'!AC73,IF($E$2=25.5,'S3'!AD73,IF($E$2=26.5,'S3'!AE73,IF($E$2=27.5,'S3'!AF73,IF($E$2=28.5,'S3'!AG73,IF($E$2=29.5,'S3'!AH73,IF($E$2=30.5,'S3'!AI73,IF($E$2=31.5,'S3'!AJ73))))))))))))</f>
        <v>95.51</v>
      </c>
      <c r="F73" s="652">
        <f t="shared" si="9"/>
        <v>133.71</v>
      </c>
      <c r="BI73"/>
      <c r="BJ73"/>
      <c r="BK73"/>
      <c r="BL73"/>
      <c r="BM73"/>
      <c r="BN73"/>
      <c r="BO73"/>
      <c r="BP73"/>
      <c r="BQ73"/>
      <c r="BR73"/>
      <c r="BS73"/>
      <c r="BT73"/>
      <c r="BU73"/>
    </row>
    <row r="74" spans="2:73" ht="21.75">
      <c r="B74" s="646">
        <v>70</v>
      </c>
      <c r="C74" s="652">
        <f>IF($C$2=20.5,'S3'!A74,IF($C$2=21.5,'S3'!B74,IF($C$2=22.5,'S3'!C74,IF($C$2=23.5,'S3'!D74,IF($C$2=24.5,'S3'!E74,IF($C$2=25.5,'S3'!F74,IF($C$2=26.5,'S3'!G74,IF($C$2=27.5,'S3'!H74,IF($C$2=28.5,'S3'!I74,IF($C$2=29.5,'S3'!J74,IF($C$2=30.5,'S3'!K74,IF($C$2=31.5,'S3'!L74))))))))))))</f>
        <v>158</v>
      </c>
      <c r="D74" s="652">
        <f t="shared" si="10"/>
        <v>221.2</v>
      </c>
      <c r="E74" s="969">
        <f>IF($E$2=20.5,'S3'!Y74,IF($E$2=21.5,'S3'!Z74,IF($E$2=22.5,'S3'!AA74,IF($E$2=23.5,'S3'!AB74,IF($E$2=24.5,'S3'!AC74,IF($E$2=25.5,'S3'!AD74,IF($E$2=26.5,'S3'!AE74,IF($E$2=27.5,'S3'!AF74,IF($E$2=28.5,'S3'!AG74,IF($E$2=29.5,'S3'!AH74,IF($E$2=30.5,'S3'!AI74,IF($E$2=31.5,'S3'!AJ74))))))))))))</f>
        <v>96.89</v>
      </c>
      <c r="F74" s="652">
        <f t="shared" si="9"/>
        <v>135.65</v>
      </c>
      <c r="BI74"/>
      <c r="BJ74"/>
      <c r="BK74"/>
      <c r="BL74"/>
      <c r="BM74"/>
      <c r="BN74"/>
      <c r="BO74"/>
      <c r="BP74"/>
      <c r="BQ74"/>
      <c r="BR74"/>
      <c r="BS74"/>
      <c r="BT74"/>
      <c r="BU74"/>
    </row>
    <row r="75" spans="2:73" ht="21.75">
      <c r="B75" s="646">
        <v>71</v>
      </c>
      <c r="C75" s="652">
        <f>IF($C$2=20.5,'S3'!A75,IF($C$2=21.5,'S3'!B75,IF($C$2=22.5,'S3'!C75,IF($C$2=23.5,'S3'!D75,IF($C$2=24.5,'S3'!E75,IF($C$2=25.5,'S3'!F75,IF($C$2=26.5,'S3'!G75,IF($C$2=27.5,'S3'!H75,IF($C$2=28.5,'S3'!I75,IF($C$2=29.5,'S3'!J75,IF($C$2=30.5,'S3'!K75,IF($C$2=31.5,'S3'!L75))))))))))))</f>
        <v>160.22999999999999</v>
      </c>
      <c r="D75" s="652">
        <f t="shared" si="10"/>
        <v>224.32</v>
      </c>
      <c r="E75" s="969">
        <f>IF($E$2=20.5,'S3'!Y75,IF($E$2=21.5,'S3'!Z75,IF($E$2=22.5,'S3'!AA75,IF($E$2=23.5,'S3'!AB75,IF($E$2=24.5,'S3'!AC75,IF($E$2=25.5,'S3'!AD75,IF($E$2=26.5,'S3'!AE75,IF($E$2=27.5,'S3'!AF75,IF($E$2=28.5,'S3'!AG75,IF($E$2=29.5,'S3'!AH75,IF($E$2=30.5,'S3'!AI75,IF($E$2=31.5,'S3'!AJ75))))))))))))</f>
        <v>87.27</v>
      </c>
      <c r="F75" s="652">
        <f t="shared" si="9"/>
        <v>122.18</v>
      </c>
      <c r="BI75"/>
      <c r="BJ75"/>
      <c r="BK75"/>
      <c r="BL75"/>
      <c r="BM75"/>
      <c r="BN75"/>
      <c r="BO75"/>
      <c r="BP75"/>
      <c r="BQ75"/>
      <c r="BR75"/>
      <c r="BS75"/>
      <c r="BT75"/>
      <c r="BU75"/>
    </row>
    <row r="76" spans="2:73" ht="21.75">
      <c r="B76" s="646">
        <v>72</v>
      </c>
      <c r="C76" s="652">
        <f>IF($C$2=20.5,'S3'!A76,IF($C$2=21.5,'S3'!B76,IF($C$2=22.5,'S3'!C76,IF($C$2=23.5,'S3'!D76,IF($C$2=24.5,'S3'!E76,IF($C$2=25.5,'S3'!F76,IF($C$2=26.5,'S3'!G76,IF($C$2=27.5,'S3'!H76,IF($C$2=28.5,'S3'!I76,IF($C$2=29.5,'S3'!J76,IF($C$2=30.5,'S3'!K76,IF($C$2=31.5,'S3'!L76))))))))))))</f>
        <v>162.47</v>
      </c>
      <c r="D76" s="652">
        <f t="shared" si="10"/>
        <v>227.46</v>
      </c>
      <c r="E76" s="969">
        <f>IF($E$2=20.5,'S3'!Y76,IF($E$2=21.5,'S3'!Z76,IF($E$2=22.5,'S3'!AA76,IF($E$2=23.5,'S3'!AB76,IF($E$2=24.5,'S3'!AC76,IF($E$2=25.5,'S3'!AD76,IF($E$2=26.5,'S3'!AE76,IF($E$2=27.5,'S3'!AF76,IF($E$2=28.5,'S3'!AG76,IF($E$2=29.5,'S3'!AH76,IF($E$2=30.5,'S3'!AI76,IF($E$2=31.5,'S3'!AJ76))))))))))))</f>
        <v>99.65</v>
      </c>
      <c r="F76" s="652">
        <f t="shared" si="9"/>
        <v>139.51</v>
      </c>
      <c r="BI76"/>
      <c r="BJ76"/>
      <c r="BK76"/>
      <c r="BL76"/>
      <c r="BM76"/>
      <c r="BN76"/>
      <c r="BO76"/>
      <c r="BP76"/>
      <c r="BQ76"/>
      <c r="BR76"/>
      <c r="BS76"/>
      <c r="BT76"/>
      <c r="BU76"/>
    </row>
    <row r="77" spans="2:73" ht="21.75">
      <c r="B77" s="646">
        <v>73</v>
      </c>
      <c r="C77" s="652">
        <f>IF($C$2=20.5,'S3'!A77,IF($C$2=21.5,'S3'!B77,IF($C$2=22.5,'S3'!C77,IF($C$2=23.5,'S3'!D77,IF($C$2=24.5,'S3'!E77,IF($C$2=25.5,'S3'!F77,IF($C$2=26.5,'S3'!G77,IF($C$2=27.5,'S3'!H77,IF($C$2=28.5,'S3'!I77,IF($C$2=29.5,'S3'!J77,IF($C$2=30.5,'S3'!K77,IF($C$2=31.5,'S3'!L77))))))))))))</f>
        <v>164.73</v>
      </c>
      <c r="D77" s="652">
        <f t="shared" si="10"/>
        <v>230.62</v>
      </c>
      <c r="E77" s="969">
        <f>IF($E$2=20.5,'S3'!Y77,IF($E$2=21.5,'S3'!Z77,IF($E$2=22.5,'S3'!AA77,IF($E$2=23.5,'S3'!AB77,IF($E$2=24.5,'S3'!AC77,IF($E$2=25.5,'S3'!AD77,IF($E$2=26.5,'S3'!AE77,IF($E$2=27.5,'S3'!AF77,IF($E$2=28.5,'S3'!AG77,IF($E$2=29.5,'S3'!AH77,IF($E$2=30.5,'S3'!AI77,IF($E$2=31.5,'S3'!AJ77))))))))))))</f>
        <v>101.02</v>
      </c>
      <c r="F77" s="652">
        <f t="shared" si="9"/>
        <v>141.43</v>
      </c>
      <c r="BI77"/>
      <c r="BJ77"/>
      <c r="BK77"/>
      <c r="BL77"/>
      <c r="BM77"/>
      <c r="BN77"/>
      <c r="BO77"/>
      <c r="BP77"/>
      <c r="BQ77"/>
      <c r="BR77"/>
      <c r="BS77"/>
      <c r="BT77"/>
      <c r="BU77"/>
    </row>
    <row r="78" spans="2:73" ht="21.75">
      <c r="B78" s="646">
        <v>74</v>
      </c>
      <c r="C78" s="652">
        <f>IF($C$2=20.5,'S3'!A78,IF($C$2=21.5,'S3'!B78,IF($C$2=22.5,'S3'!C78,IF($C$2=23.5,'S3'!D78,IF($C$2=24.5,'S3'!E78,IF($C$2=25.5,'S3'!F78,IF($C$2=26.5,'S3'!G78,IF($C$2=27.5,'S3'!H78,IF($C$2=28.5,'S3'!I78,IF($C$2=29.5,'S3'!J78,IF($C$2=30.5,'S3'!K78,IF($C$2=31.5,'S3'!L78))))))))))))</f>
        <v>166.99</v>
      </c>
      <c r="D78" s="652">
        <f t="shared" si="10"/>
        <v>233.79</v>
      </c>
      <c r="E78" s="969">
        <f>IF($E$2=20.5,'S3'!Y78,IF($E$2=21.5,'S3'!Z78,IF($E$2=22.5,'S3'!AA78,IF($E$2=23.5,'S3'!AB78,IF($E$2=24.5,'S3'!AC78,IF($E$2=25.5,'S3'!AD78,IF($E$2=26.5,'S3'!AE78,IF($E$2=27.5,'S3'!AF78,IF($E$2=28.5,'S3'!AG78,IF($E$2=29.5,'S3'!AH78,IF($E$2=30.5,'S3'!AI78,IF($E$2=31.5,'S3'!AJ78))))))))))))</f>
        <v>102.41</v>
      </c>
      <c r="F78" s="652">
        <f t="shared" si="9"/>
        <v>143.37</v>
      </c>
      <c r="BI78"/>
      <c r="BJ78"/>
      <c r="BK78"/>
      <c r="BL78"/>
      <c r="BM78"/>
      <c r="BN78"/>
      <c r="BO78"/>
      <c r="BP78"/>
      <c r="BQ78"/>
      <c r="BR78"/>
      <c r="BS78"/>
      <c r="BT78"/>
      <c r="BU78"/>
    </row>
    <row r="79" spans="2:73" ht="21.75">
      <c r="B79" s="646">
        <v>75</v>
      </c>
      <c r="C79" s="652">
        <f>IF($C$2=20.5,'S3'!A79,IF($C$2=21.5,'S3'!B79,IF($C$2=22.5,'S3'!C79,IF($C$2=23.5,'S3'!D79,IF($C$2=24.5,'S3'!E79,IF($C$2=25.5,'S3'!F79,IF($C$2=26.5,'S3'!G79,IF($C$2=27.5,'S3'!H79,IF($C$2=28.5,'S3'!I79,IF($C$2=29.5,'S3'!J79,IF($C$2=30.5,'S3'!K79,IF($C$2=31.5,'S3'!L79))))))))))))</f>
        <v>169.18</v>
      </c>
      <c r="D79" s="652">
        <f t="shared" si="10"/>
        <v>236.85</v>
      </c>
      <c r="E79" s="969">
        <f>IF($E$2=20.5,'S3'!Y79,IF($E$2=21.5,'S3'!Z79,IF($E$2=22.5,'S3'!AA79,IF($E$2=23.5,'S3'!AB79,IF($E$2=24.5,'S3'!AC79,IF($E$2=25.5,'S3'!AD79,IF($E$2=26.5,'S3'!AE79,IF($E$2=27.5,'S3'!AF79,IF($E$2=28.5,'S3'!AG79,IF($E$2=29.5,'S3'!AH79,IF($E$2=30.5,'S3'!AI79,IF($E$2=31.5,'S3'!AJ79))))))))))))</f>
        <v>103.77</v>
      </c>
      <c r="F79" s="652">
        <f t="shared" si="9"/>
        <v>145.28</v>
      </c>
      <c r="BI79"/>
      <c r="BJ79"/>
      <c r="BK79"/>
      <c r="BL79"/>
      <c r="BM79"/>
      <c r="BN79"/>
      <c r="BO79"/>
      <c r="BP79"/>
      <c r="BQ79"/>
      <c r="BR79"/>
      <c r="BS79"/>
      <c r="BT79"/>
      <c r="BU79"/>
    </row>
    <row r="80" spans="2:73" ht="21.75">
      <c r="B80" s="646">
        <v>76</v>
      </c>
      <c r="C80" s="652">
        <f>IF($C$2=20.5,'S3'!A80,IF($C$2=21.5,'S3'!B80,IF($C$2=22.5,'S3'!C80,IF($C$2=23.5,'S3'!D80,IF($C$2=24.5,'S3'!E80,IF($C$2=25.5,'S3'!F80,IF($C$2=26.5,'S3'!G80,IF($C$2=27.5,'S3'!H80,IF($C$2=28.5,'S3'!I80,IF($C$2=29.5,'S3'!J80,IF($C$2=30.5,'S3'!K80,IF($C$2=31.5,'S3'!L80))))))))))))</f>
        <v>171.47</v>
      </c>
      <c r="D80" s="652">
        <f t="shared" si="10"/>
        <v>240.06</v>
      </c>
      <c r="E80" s="969">
        <f>IF($E$2=20.5,'S3'!Y80,IF($E$2=21.5,'S3'!Z80,IF($E$2=22.5,'S3'!AA80,IF($E$2=23.5,'S3'!AB80,IF($E$2=24.5,'S3'!AC80,IF($E$2=25.5,'S3'!AD80,IF($E$2=26.5,'S3'!AE80,IF($E$2=27.5,'S3'!AF80,IF($E$2=28.5,'S3'!AG80,IF($E$2=29.5,'S3'!AH80,IF($E$2=30.5,'S3'!AI80,IF($E$2=31.5,'S3'!AJ80))))))))))))</f>
        <v>105.15</v>
      </c>
      <c r="F80" s="652">
        <f t="shared" si="9"/>
        <v>147.21</v>
      </c>
      <c r="BI80"/>
      <c r="BJ80"/>
      <c r="BK80"/>
      <c r="BL80"/>
      <c r="BM80"/>
      <c r="BN80"/>
      <c r="BO80"/>
      <c r="BP80"/>
      <c r="BQ80"/>
      <c r="BR80"/>
      <c r="BS80"/>
      <c r="BT80"/>
      <c r="BU80"/>
    </row>
    <row r="81" spans="2:73" ht="21.75">
      <c r="B81" s="646">
        <v>77</v>
      </c>
      <c r="C81" s="652">
        <f>IF($C$2=20.5,'S3'!A81,IF($C$2=21.5,'S3'!B81,IF($C$2=22.5,'S3'!C81,IF($C$2=23.5,'S3'!D81,IF($C$2=24.5,'S3'!E81,IF($C$2=25.5,'S3'!F81,IF($C$2=26.5,'S3'!G81,IF($C$2=27.5,'S3'!H81,IF($C$2=28.5,'S3'!I81,IF($C$2=29.5,'S3'!J81,IF($C$2=30.5,'S3'!K81,IF($C$2=31.5,'S3'!L81))))))))))))</f>
        <v>173.67</v>
      </c>
      <c r="D81" s="652">
        <f t="shared" si="10"/>
        <v>243.14</v>
      </c>
      <c r="E81" s="969">
        <f>IF($E$2=20.5,'S3'!Y81,IF($E$2=21.5,'S3'!Z81,IF($E$2=22.5,'S3'!AA81,IF($E$2=23.5,'S3'!AB81,IF($E$2=24.5,'S3'!AC81,IF($E$2=25.5,'S3'!AD81,IF($E$2=26.5,'S3'!AE81,IF($E$2=27.5,'S3'!AF81,IF($E$2=28.5,'S3'!AG81,IF($E$2=29.5,'S3'!AH81,IF($E$2=30.5,'S3'!AI81,IF($E$2=31.5,'S3'!AJ81))))))))))))</f>
        <v>106.52</v>
      </c>
      <c r="F81" s="652">
        <f t="shared" si="9"/>
        <v>149.13</v>
      </c>
      <c r="BI81"/>
      <c r="BJ81"/>
      <c r="BK81"/>
      <c r="BL81"/>
      <c r="BM81"/>
      <c r="BN81"/>
      <c r="BO81"/>
      <c r="BP81"/>
      <c r="BQ81"/>
      <c r="BR81"/>
      <c r="BS81"/>
      <c r="BT81"/>
      <c r="BU81"/>
    </row>
    <row r="82" spans="2:73" ht="21.75">
      <c r="B82" s="646">
        <v>78</v>
      </c>
      <c r="C82" s="652">
        <f>IF($C$2=20.5,'S3'!A82,IF($C$2=21.5,'S3'!B82,IF($C$2=22.5,'S3'!C82,IF($C$2=23.5,'S3'!D82,IF($C$2=24.5,'S3'!E82,IF($C$2=25.5,'S3'!F82,IF($C$2=26.5,'S3'!G82,IF($C$2=27.5,'S3'!H82,IF($C$2=28.5,'S3'!I82,IF($C$2=29.5,'S3'!J82,IF($C$2=30.5,'S3'!K82,IF($C$2=31.5,'S3'!L82))))))))))))</f>
        <v>175.88</v>
      </c>
      <c r="D82" s="652">
        <f t="shared" si="10"/>
        <v>246.23</v>
      </c>
      <c r="E82" s="969">
        <f>IF($E$2=20.5,'S3'!Y82,IF($E$2=21.5,'S3'!Z82,IF($E$2=22.5,'S3'!AA82,IF($E$2=23.5,'S3'!AB82,IF($E$2=24.5,'S3'!AC82,IF($E$2=25.5,'S3'!AD82,IF($E$2=26.5,'S3'!AE82,IF($E$2=27.5,'S3'!AF82,IF($E$2=28.5,'S3'!AG82,IF($E$2=29.5,'S3'!AH82,IF($E$2=30.5,'S3'!AI82,IF($E$2=31.5,'S3'!AJ82))))))))))))</f>
        <v>107.89</v>
      </c>
      <c r="F82" s="652">
        <f t="shared" si="9"/>
        <v>151.05000000000001</v>
      </c>
      <c r="BI82"/>
      <c r="BJ82"/>
      <c r="BK82"/>
      <c r="BL82"/>
      <c r="BM82"/>
      <c r="BN82"/>
      <c r="BO82"/>
      <c r="BP82"/>
      <c r="BQ82"/>
      <c r="BR82"/>
      <c r="BS82"/>
      <c r="BT82"/>
      <c r="BU82"/>
    </row>
    <row r="83" spans="2:73" ht="21.75">
      <c r="B83" s="646">
        <v>79</v>
      </c>
      <c r="C83" s="652">
        <f>IF($C$2=20.5,'S3'!A83,IF($C$2=21.5,'S3'!B83,IF($C$2=22.5,'S3'!C83,IF($C$2=23.5,'S3'!D83,IF($C$2=24.5,'S3'!E83,IF($C$2=25.5,'S3'!F83,IF($C$2=26.5,'S3'!G83,IF($C$2=27.5,'S3'!H83,IF($C$2=28.5,'S3'!I83,IF($C$2=29.5,'S3'!J83,IF($C$2=30.5,'S3'!K83,IF($C$2=31.5,'S3'!L83))))))))))))</f>
        <v>178.21</v>
      </c>
      <c r="D83" s="652">
        <f t="shared" si="10"/>
        <v>249.49</v>
      </c>
      <c r="E83" s="969">
        <f>IF($E$2=20.5,'S3'!Y83,IF($E$2=21.5,'S3'!Z83,IF($E$2=22.5,'S3'!AA83,IF($E$2=23.5,'S3'!AB83,IF($E$2=24.5,'S3'!AC83,IF($E$2=25.5,'S3'!AD83,IF($E$2=26.5,'S3'!AE83,IF($E$2=27.5,'S3'!AF83,IF($E$2=28.5,'S3'!AG83,IF($E$2=29.5,'S3'!AH83,IF($E$2=30.5,'S3'!AI83,IF($E$2=31.5,'S3'!AJ83))))))))))))</f>
        <v>109.27</v>
      </c>
      <c r="F83" s="652">
        <f t="shared" si="9"/>
        <v>152.97999999999999</v>
      </c>
      <c r="BI83"/>
      <c r="BJ83"/>
      <c r="BK83"/>
      <c r="BL83"/>
      <c r="BM83"/>
      <c r="BN83"/>
      <c r="BO83"/>
      <c r="BP83"/>
      <c r="BQ83"/>
      <c r="BR83"/>
      <c r="BS83"/>
      <c r="BT83"/>
      <c r="BU83"/>
    </row>
    <row r="84" spans="2:73" ht="21.75">
      <c r="B84" s="646">
        <v>80</v>
      </c>
      <c r="C84" s="652">
        <f>IF($C$2=20.5,'S3'!A84,IF($C$2=21.5,'S3'!B84,IF($C$2=22.5,'S3'!C84,IF($C$2=23.5,'S3'!D84,IF($C$2=24.5,'S3'!E84,IF($C$2=25.5,'S3'!F84,IF($C$2=26.5,'S3'!G84,IF($C$2=27.5,'S3'!H84,IF($C$2=28.5,'S3'!I84,IF($C$2=29.5,'S3'!J84,IF($C$2=30.5,'S3'!K84,IF($C$2=31.5,'S3'!L84))))))))))))</f>
        <v>180.45</v>
      </c>
      <c r="D84" s="652">
        <f t="shared" si="10"/>
        <v>252.63</v>
      </c>
      <c r="E84" s="969">
        <f>IF($E$2=20.5,'S3'!Y84,IF($E$2=21.5,'S3'!Z84,IF($E$2=22.5,'S3'!AA84,IF($E$2=23.5,'S3'!AB84,IF($E$2=24.5,'S3'!AC84,IF($E$2=25.5,'S3'!AD84,IF($E$2=26.5,'S3'!AE84,IF($E$2=27.5,'S3'!AF84,IF($E$2=28.5,'S3'!AG84,IF($E$2=29.5,'S3'!AH84,IF($E$2=30.5,'S3'!AI84,IF($E$2=31.5,'S3'!AJ84))))))))))))</f>
        <v>110.65</v>
      </c>
      <c r="F84" s="652">
        <f t="shared" si="9"/>
        <v>154.91</v>
      </c>
      <c r="BI84"/>
      <c r="BJ84"/>
      <c r="BK84"/>
      <c r="BL84"/>
      <c r="BM84"/>
      <c r="BN84"/>
      <c r="BO84"/>
      <c r="BP84"/>
      <c r="BQ84"/>
      <c r="BR84"/>
      <c r="BS84"/>
      <c r="BT84"/>
      <c r="BU84"/>
    </row>
    <row r="85" spans="2:73" ht="21.75">
      <c r="B85" s="646">
        <v>81</v>
      </c>
      <c r="C85" s="652">
        <f>IF($C$2=20.5,'S3'!A85,IF($C$2=21.5,'S3'!B85,IF($C$2=22.5,'S3'!C85,IF($C$2=23.5,'S3'!D85,IF($C$2=24.5,'S3'!E85,IF($C$2=25.5,'S3'!F85,IF($C$2=26.5,'S3'!G85,IF($C$2=27.5,'S3'!H85,IF($C$2=28.5,'S3'!I85,IF($C$2=29.5,'S3'!J85,IF($C$2=30.5,'S3'!K85,IF($C$2=31.5,'S3'!L85))))))))))))</f>
        <v>182.69</v>
      </c>
      <c r="D85" s="652">
        <f t="shared" si="10"/>
        <v>255.77</v>
      </c>
      <c r="E85" s="969">
        <f>IF($E$2=20.5,'S3'!Y85,IF($E$2=21.5,'S3'!Z85,IF($E$2=22.5,'S3'!AA85,IF($E$2=23.5,'S3'!AB85,IF($E$2=24.5,'S3'!AC85,IF($E$2=25.5,'S3'!AD85,IF($E$2=26.5,'S3'!AE85,IF($E$2=27.5,'S3'!AF85,IF($E$2=28.5,'S3'!AG85,IF($E$2=29.5,'S3'!AH85,IF($E$2=30.5,'S3'!AI85,IF($E$2=31.5,'S3'!AJ85))))))))))))</f>
        <v>112.04</v>
      </c>
      <c r="F85" s="652">
        <f t="shared" si="9"/>
        <v>156.86000000000001</v>
      </c>
      <c r="BI85"/>
      <c r="BJ85"/>
      <c r="BK85"/>
      <c r="BL85"/>
      <c r="BM85"/>
      <c r="BN85"/>
      <c r="BO85"/>
      <c r="BP85"/>
      <c r="BQ85"/>
      <c r="BR85"/>
      <c r="BS85"/>
      <c r="BT85"/>
      <c r="BU85"/>
    </row>
    <row r="86" spans="2:73" ht="21.75">
      <c r="B86" s="646">
        <v>82</v>
      </c>
      <c r="C86" s="652">
        <f>IF($C$2=20.5,'S3'!A86,IF($C$2=21.5,'S3'!B86,IF($C$2=22.5,'S3'!C86,IF($C$2=23.5,'S3'!D86,IF($C$2=24.5,'S3'!E86,IF($C$2=25.5,'S3'!F86,IF($C$2=26.5,'S3'!G86,IF($C$2=27.5,'S3'!H86,IF($C$2=28.5,'S3'!I86,IF($C$2=29.5,'S3'!J86,IF($C$2=30.5,'S3'!K86,IF($C$2=31.5,'S3'!L86))))))))))))</f>
        <v>184.83</v>
      </c>
      <c r="D86" s="652">
        <f t="shared" si="10"/>
        <v>258.76</v>
      </c>
      <c r="E86" s="969">
        <f>IF($E$2=20.5,'S3'!Y86,IF($E$2=21.5,'S3'!Z86,IF($E$2=22.5,'S3'!AA86,IF($E$2=23.5,'S3'!AB86,IF($E$2=24.5,'S3'!AC86,IF($E$2=25.5,'S3'!AD86,IF($E$2=26.5,'S3'!AE86,IF($E$2=27.5,'S3'!AF86,IF($E$2=28.5,'S3'!AG86,IF($E$2=29.5,'S3'!AH86,IF($E$2=30.5,'S3'!AI86,IF($E$2=31.5,'S3'!AJ86))))))))))))</f>
        <v>113.39</v>
      </c>
      <c r="F86" s="652">
        <f t="shared" si="9"/>
        <v>158.75</v>
      </c>
      <c r="BI86"/>
      <c r="BJ86"/>
      <c r="BK86"/>
      <c r="BL86"/>
      <c r="BM86"/>
      <c r="BN86"/>
      <c r="BO86"/>
      <c r="BP86"/>
      <c r="BQ86"/>
      <c r="BR86"/>
      <c r="BS86"/>
      <c r="BT86"/>
      <c r="BU86"/>
    </row>
    <row r="87" spans="2:73" ht="21.75">
      <c r="B87" s="646">
        <v>83</v>
      </c>
      <c r="C87" s="652">
        <f>IF($C$2=20.5,'S3'!A87,IF($C$2=21.5,'S3'!B87,IF($C$2=22.5,'S3'!C87,IF($C$2=23.5,'S3'!D87,IF($C$2=24.5,'S3'!E87,IF($C$2=25.5,'S3'!F87,IF($C$2=26.5,'S3'!G87,IF($C$2=27.5,'S3'!H87,IF($C$2=28.5,'S3'!I87,IF($C$2=29.5,'S3'!J87,IF($C$2=30.5,'S3'!K87,IF($C$2=31.5,'S3'!L87))))))))))))</f>
        <v>187.1</v>
      </c>
      <c r="D87" s="652">
        <f t="shared" si="10"/>
        <v>261.94</v>
      </c>
      <c r="E87" s="969">
        <f>IF($E$2=20.5,'S3'!Y87,IF($E$2=21.5,'S3'!Z87,IF($E$2=22.5,'S3'!AA87,IF($E$2=23.5,'S3'!AB87,IF($E$2=24.5,'S3'!AC87,IF($E$2=25.5,'S3'!AD87,IF($E$2=26.5,'S3'!AE87,IF($E$2=27.5,'S3'!AF87,IF($E$2=28.5,'S3'!AG87,IF($E$2=29.5,'S3'!AH87,IF($E$2=30.5,'S3'!AI87,IF($E$2=31.5,'S3'!AJ87))))))))))))</f>
        <v>114.78</v>
      </c>
      <c r="F87" s="652">
        <f t="shared" si="9"/>
        <v>160.69</v>
      </c>
      <c r="BI87"/>
      <c r="BJ87"/>
      <c r="BK87"/>
      <c r="BL87"/>
      <c r="BM87"/>
      <c r="BN87"/>
      <c r="BO87"/>
      <c r="BP87"/>
      <c r="BQ87"/>
      <c r="BR87"/>
      <c r="BS87"/>
      <c r="BT87"/>
      <c r="BU87"/>
    </row>
    <row r="88" spans="2:73" ht="21.75">
      <c r="B88" s="646">
        <v>84</v>
      </c>
      <c r="C88" s="652">
        <f>IF($C$2=20.5,'S3'!A88,IF($C$2=21.5,'S3'!B88,IF($C$2=22.5,'S3'!C88,IF($C$2=23.5,'S3'!D88,IF($C$2=24.5,'S3'!E88,IF($C$2=25.5,'S3'!F88,IF($C$2=26.5,'S3'!G88,IF($C$2=27.5,'S3'!H88,IF($C$2=28.5,'S3'!I88,IF($C$2=29.5,'S3'!J88,IF($C$2=30.5,'S3'!K88,IF($C$2=31.5,'S3'!L88))))))))))))</f>
        <v>189.38</v>
      </c>
      <c r="D88" s="652">
        <f t="shared" si="10"/>
        <v>265.13</v>
      </c>
      <c r="E88" s="969">
        <f>IF($E$2=20.5,'S3'!Y88,IF($E$2=21.5,'S3'!Z88,IF($E$2=22.5,'S3'!AA88,IF($E$2=23.5,'S3'!AB88,IF($E$2=24.5,'S3'!AC88,IF($E$2=25.5,'S3'!AD88,IF($E$2=26.5,'S3'!AE88,IF($E$2=27.5,'S3'!AF88,IF($E$2=28.5,'S3'!AG88,IF($E$2=29.5,'S3'!AH88,IF($E$2=30.5,'S3'!AI88,IF($E$2=31.5,'S3'!AJ88))))))))))))</f>
        <v>116.14</v>
      </c>
      <c r="F88" s="652">
        <f t="shared" si="9"/>
        <v>162.6</v>
      </c>
      <c r="BI88"/>
      <c r="BJ88"/>
      <c r="BK88"/>
      <c r="BL88"/>
      <c r="BM88"/>
      <c r="BN88"/>
      <c r="BO88"/>
      <c r="BP88"/>
      <c r="BQ88"/>
      <c r="BR88"/>
      <c r="BS88"/>
      <c r="BT88"/>
      <c r="BU88"/>
    </row>
    <row r="89" spans="2:73" ht="21.75">
      <c r="B89" s="646">
        <v>85</v>
      </c>
      <c r="C89" s="652">
        <f>IF($C$2=20.5,'S3'!A89,IF($C$2=21.5,'S3'!B89,IF($C$2=22.5,'S3'!C89,IF($C$2=23.5,'S3'!D89,IF($C$2=24.5,'S3'!E89,IF($C$2=25.5,'S3'!F89,IF($C$2=26.5,'S3'!G89,IF($C$2=27.5,'S3'!H89,IF($C$2=28.5,'S3'!I89,IF($C$2=29.5,'S3'!J89,IF($C$2=30.5,'S3'!K89,IF($C$2=31.5,'S3'!L89))))))))))))</f>
        <v>191.67</v>
      </c>
      <c r="D89" s="652">
        <f t="shared" si="10"/>
        <v>268.33999999999997</v>
      </c>
      <c r="E89" s="969">
        <f>IF($E$2=20.5,'S3'!Y89,IF($E$2=21.5,'S3'!Z89,IF($E$2=22.5,'S3'!AA89,IF($E$2=23.5,'S3'!AB89,IF($E$2=24.5,'S3'!AC89,IF($E$2=25.5,'S3'!AD89,IF($E$2=26.5,'S3'!AE89,IF($E$2=27.5,'S3'!AF89,IF($E$2=28.5,'S3'!AG89,IF($E$2=29.5,'S3'!AH89,IF($E$2=30.5,'S3'!AI89,IF($E$2=31.5,'S3'!AJ89))))))))))))</f>
        <v>117.54</v>
      </c>
      <c r="F89" s="652">
        <f t="shared" si="9"/>
        <v>164.56</v>
      </c>
      <c r="BI89"/>
      <c r="BJ89"/>
      <c r="BK89"/>
      <c r="BL89"/>
      <c r="BM89"/>
      <c r="BN89"/>
      <c r="BO89"/>
      <c r="BP89"/>
      <c r="BQ89"/>
      <c r="BR89"/>
      <c r="BS89"/>
      <c r="BT89"/>
      <c r="BU89"/>
    </row>
    <row r="90" spans="2:73" ht="21.75">
      <c r="B90" s="646">
        <v>86</v>
      </c>
      <c r="C90" s="652">
        <f>IF($C$2=20.5,'S3'!A90,IF($C$2=21.5,'S3'!B90,IF($C$2=22.5,'S3'!C90,IF($C$2=23.5,'S3'!D90,IF($C$2=24.5,'S3'!E90,IF($C$2=25.5,'S3'!F90,IF($C$2=26.5,'S3'!G90,IF($C$2=27.5,'S3'!H90,IF($C$2=28.5,'S3'!I90,IF($C$2=29.5,'S3'!J90,IF($C$2=30.5,'S3'!K90,IF($C$2=31.5,'S3'!L90))))))))))))</f>
        <v>193.84</v>
      </c>
      <c r="D90" s="652">
        <f t="shared" si="10"/>
        <v>271.38</v>
      </c>
      <c r="E90" s="969">
        <f>IF($E$2=20.5,'S3'!Y90,IF($E$2=21.5,'S3'!Z90,IF($E$2=22.5,'S3'!AA90,IF($E$2=23.5,'S3'!AB90,IF($E$2=24.5,'S3'!AC90,IF($E$2=25.5,'S3'!AD90,IF($E$2=26.5,'S3'!AE90,IF($E$2=27.5,'S3'!AF90,IF($E$2=28.5,'S3'!AG90,IF($E$2=29.5,'S3'!AH90,IF($E$2=30.5,'S3'!AI90,IF($E$2=31.5,'S3'!AJ90))))))))))))</f>
        <v>118.9</v>
      </c>
      <c r="F90" s="652">
        <f t="shared" si="9"/>
        <v>166.46</v>
      </c>
      <c r="BI90"/>
      <c r="BJ90"/>
      <c r="BK90"/>
      <c r="BL90"/>
      <c r="BM90"/>
      <c r="BN90"/>
      <c r="BO90"/>
      <c r="BP90"/>
      <c r="BQ90"/>
      <c r="BR90"/>
      <c r="BS90"/>
      <c r="BT90"/>
      <c r="BU90"/>
    </row>
    <row r="91" spans="2:73" ht="21.75">
      <c r="B91" s="646">
        <v>87</v>
      </c>
      <c r="C91" s="652">
        <f>IF($C$2=20.5,'S3'!A91,IF($C$2=21.5,'S3'!B91,IF($C$2=22.5,'S3'!C91,IF($C$2=23.5,'S3'!D91,IF($C$2=24.5,'S3'!E91,IF($C$2=25.5,'S3'!F91,IF($C$2=26.5,'S3'!G91,IF($C$2=27.5,'S3'!H91,IF($C$2=28.5,'S3'!I91,IF($C$2=29.5,'S3'!J91,IF($C$2=30.5,'S3'!K91,IF($C$2=31.5,'S3'!L91))))))))))))</f>
        <v>196.02</v>
      </c>
      <c r="D91" s="652">
        <f t="shared" si="10"/>
        <v>274.43</v>
      </c>
      <c r="E91" s="969">
        <f>IF($E$2=20.5,'S3'!Y91,IF($E$2=21.5,'S3'!Z91,IF($E$2=22.5,'S3'!AA91,IF($E$2=23.5,'S3'!AB91,IF($E$2=24.5,'S3'!AC91,IF($E$2=25.5,'S3'!AD91,IF($E$2=26.5,'S3'!AE91,IF($E$2=27.5,'S3'!AF91,IF($E$2=28.5,'S3'!AG91,IF($E$2=29.5,'S3'!AH91,IF($E$2=30.5,'S3'!AI91,IF($E$2=31.5,'S3'!AJ91))))))))))))</f>
        <v>120.27</v>
      </c>
      <c r="F91" s="652">
        <f t="shared" si="9"/>
        <v>168.38</v>
      </c>
      <c r="BI91"/>
      <c r="BJ91"/>
      <c r="BK91"/>
      <c r="BL91"/>
      <c r="BM91"/>
      <c r="BN91"/>
      <c r="BO91"/>
      <c r="BP91"/>
      <c r="BQ91"/>
      <c r="BR91"/>
      <c r="BS91"/>
      <c r="BT91"/>
      <c r="BU91"/>
    </row>
    <row r="92" spans="2:73" ht="21.75">
      <c r="B92" s="646">
        <v>88</v>
      </c>
      <c r="C92" s="652">
        <f>IF($C$2=20.5,'S3'!A92,IF($C$2=21.5,'S3'!B92,IF($C$2=22.5,'S3'!C92,IF($C$2=23.5,'S3'!D92,IF($C$2=24.5,'S3'!E92,IF($C$2=25.5,'S3'!F92,IF($C$2=26.5,'S3'!G92,IF($C$2=27.5,'S3'!H92,IF($C$2=28.5,'S3'!I92,IF($C$2=29.5,'S3'!J92,IF($C$2=30.5,'S3'!K92,IF($C$2=31.5,'S3'!L92))))))))))))</f>
        <v>198.35</v>
      </c>
      <c r="D92" s="652">
        <f t="shared" si="10"/>
        <v>277.69</v>
      </c>
      <c r="E92" s="969">
        <f>IF($E$2=20.5,'S3'!Y92,IF($E$2=21.5,'S3'!Z92,IF($E$2=22.5,'S3'!AA92,IF($E$2=23.5,'S3'!AB92,IF($E$2=24.5,'S3'!AC92,IF($E$2=25.5,'S3'!AD92,IF($E$2=26.5,'S3'!AE92,IF($E$2=27.5,'S3'!AF92,IF($E$2=28.5,'S3'!AG92,IF($E$2=29.5,'S3'!AH92,IF($E$2=30.5,'S3'!AI92,IF($E$2=31.5,'S3'!AJ92))))))))))))</f>
        <v>121.64</v>
      </c>
      <c r="F92" s="652">
        <f t="shared" si="9"/>
        <v>170.3</v>
      </c>
      <c r="BI92"/>
      <c r="BJ92"/>
      <c r="BK92"/>
      <c r="BL92"/>
      <c r="BM92"/>
      <c r="BN92"/>
      <c r="BO92"/>
      <c r="BP92"/>
      <c r="BQ92"/>
      <c r="BR92"/>
      <c r="BS92"/>
      <c r="BT92"/>
      <c r="BU92"/>
    </row>
    <row r="93" spans="2:73" ht="21.75">
      <c r="B93" s="646">
        <v>89</v>
      </c>
      <c r="C93" s="652">
        <f>IF($C$2=20.5,'S3'!A93,IF($C$2=21.5,'S3'!B93,IF($C$2=22.5,'S3'!C93,IF($C$2=23.5,'S3'!D93,IF($C$2=24.5,'S3'!E93,IF($C$2=25.5,'S3'!F93,IF($C$2=26.5,'S3'!G93,IF($C$2=27.5,'S3'!H93,IF($C$2=28.5,'S3'!I93,IF($C$2=29.5,'S3'!J93,IF($C$2=30.5,'S3'!K93,IF($C$2=31.5,'S3'!L93))))))))))))</f>
        <v>200.55</v>
      </c>
      <c r="D93" s="652">
        <f t="shared" si="10"/>
        <v>280.77</v>
      </c>
      <c r="E93" s="969">
        <f>IF($E$2=20.5,'S3'!Y93,IF($E$2=21.5,'S3'!Z93,IF($E$2=22.5,'S3'!AA93,IF($E$2=23.5,'S3'!AB93,IF($E$2=24.5,'S3'!AC93,IF($E$2=25.5,'S3'!AD93,IF($E$2=26.5,'S3'!AE93,IF($E$2=27.5,'S3'!AF93,IF($E$2=28.5,'S3'!AG93,IF($E$2=29.5,'S3'!AH93,IF($E$2=30.5,'S3'!AI93,IF($E$2=31.5,'S3'!AJ93))))))))))))</f>
        <v>123.01</v>
      </c>
      <c r="F93" s="652">
        <f t="shared" si="9"/>
        <v>172.21</v>
      </c>
      <c r="BI93"/>
      <c r="BJ93"/>
      <c r="BK93"/>
      <c r="BL93"/>
      <c r="BM93"/>
      <c r="BN93"/>
      <c r="BO93"/>
      <c r="BP93"/>
      <c r="BQ93"/>
      <c r="BR93"/>
      <c r="BS93"/>
      <c r="BT93"/>
      <c r="BU93"/>
    </row>
    <row r="94" spans="2:73" ht="21.75">
      <c r="B94" s="646">
        <v>90</v>
      </c>
      <c r="C94" s="652">
        <f>IF($C$2=20.5,'S3'!A94,IF($C$2=21.5,'S3'!B94,IF($C$2=22.5,'S3'!C94,IF($C$2=23.5,'S3'!D94,IF($C$2=24.5,'S3'!E94,IF($C$2=25.5,'S3'!F94,IF($C$2=26.5,'S3'!G94,IF($C$2=27.5,'S3'!H94,IF($C$2=28.5,'S3'!I94,IF($C$2=29.5,'S3'!J94,IF($C$2=30.5,'S3'!K94,IF($C$2=31.5,'S3'!L94))))))))))))</f>
        <v>202.76</v>
      </c>
      <c r="D94" s="652">
        <f t="shared" si="10"/>
        <v>283.86</v>
      </c>
      <c r="E94" s="969">
        <f>IF($E$2=20.5,'S3'!Y94,IF($E$2=21.5,'S3'!Z94,IF($E$2=22.5,'S3'!AA94,IF($E$2=23.5,'S3'!AB94,IF($E$2=24.5,'S3'!AC94,IF($E$2=25.5,'S3'!AD94,IF($E$2=26.5,'S3'!AE94,IF($E$2=27.5,'S3'!AF94,IF($E$2=28.5,'S3'!AG94,IF($E$2=29.5,'S3'!AH94,IF($E$2=30.5,'S3'!AI94,IF($E$2=31.5,'S3'!AJ94))))))))))))</f>
        <v>124.42</v>
      </c>
      <c r="F94" s="652">
        <f t="shared" si="9"/>
        <v>174.19</v>
      </c>
      <c r="BI94"/>
      <c r="BJ94"/>
      <c r="BK94"/>
      <c r="BL94"/>
      <c r="BM94"/>
      <c r="BN94"/>
      <c r="BO94"/>
      <c r="BP94"/>
      <c r="BQ94"/>
      <c r="BR94"/>
      <c r="BS94"/>
      <c r="BT94"/>
      <c r="BU94"/>
    </row>
    <row r="95" spans="2:73" ht="21.75">
      <c r="B95" s="646">
        <v>91</v>
      </c>
      <c r="C95" s="652">
        <f>IF($C$2=20.5,'S3'!A95,IF($C$2=21.5,'S3'!B95,IF($C$2=22.5,'S3'!C95,IF($C$2=23.5,'S3'!D95,IF($C$2=24.5,'S3'!E95,IF($C$2=25.5,'S3'!F95,IF($C$2=26.5,'S3'!G95,IF($C$2=27.5,'S3'!H95,IF($C$2=28.5,'S3'!I95,IF($C$2=29.5,'S3'!J95,IF($C$2=30.5,'S3'!K95,IF($C$2=31.5,'S3'!L95))))))))))))</f>
        <v>205.11</v>
      </c>
      <c r="D95" s="652">
        <f t="shared" si="10"/>
        <v>287.14999999999998</v>
      </c>
      <c r="E95" s="969">
        <f>IF($E$2=20.5,'S3'!Y95,IF($E$2=21.5,'S3'!Z95,IF($E$2=22.5,'S3'!AA95,IF($E$2=23.5,'S3'!AB95,IF($E$2=24.5,'S3'!AC95,IF($E$2=25.5,'S3'!AD95,IF($E$2=26.5,'S3'!AE95,IF($E$2=27.5,'S3'!AF95,IF($E$2=28.5,'S3'!AG95,IF($E$2=29.5,'S3'!AH95,IF($E$2=30.5,'S3'!AI95,IF($E$2=31.5,'S3'!AJ95))))))))))))</f>
        <v>125.8</v>
      </c>
      <c r="F95" s="652">
        <f t="shared" si="9"/>
        <v>176.12</v>
      </c>
      <c r="BI95"/>
      <c r="BJ95"/>
      <c r="BK95"/>
      <c r="BL95"/>
      <c r="BM95"/>
      <c r="BN95"/>
      <c r="BO95"/>
      <c r="BP95"/>
      <c r="BQ95"/>
      <c r="BR95"/>
      <c r="BS95"/>
      <c r="BT95"/>
      <c r="BU95"/>
    </row>
    <row r="96" spans="2:73" ht="21.75">
      <c r="B96" s="646">
        <v>92</v>
      </c>
      <c r="C96" s="652">
        <f>IF($C$2=20.5,'S3'!A96,IF($C$2=21.5,'S3'!B96,IF($C$2=22.5,'S3'!C96,IF($C$2=23.5,'S3'!D96,IF($C$2=24.5,'S3'!E96,IF($C$2=25.5,'S3'!F96,IF($C$2=26.5,'S3'!G96,IF($C$2=27.5,'S3'!H96,IF($C$2=28.5,'S3'!I96,IF($C$2=29.5,'S3'!J96,IF($C$2=30.5,'S3'!K96,IF($C$2=31.5,'S3'!L96))))))))))))</f>
        <v>207.34</v>
      </c>
      <c r="D96" s="652">
        <f t="shared" si="10"/>
        <v>290.27999999999997</v>
      </c>
      <c r="E96" s="969">
        <f>IF($E$2=20.5,'S3'!Y96,IF($E$2=21.5,'S3'!Z96,IF($E$2=22.5,'S3'!AA96,IF($E$2=23.5,'S3'!AB96,IF($E$2=24.5,'S3'!AC96,IF($E$2=25.5,'S3'!AD96,IF($E$2=26.5,'S3'!AE96,IF($E$2=27.5,'S3'!AF96,IF($E$2=28.5,'S3'!AG96,IF($E$2=29.5,'S3'!AH96,IF($E$2=30.5,'S3'!AI96,IF($E$2=31.5,'S3'!AJ96))))))))))))</f>
        <v>127.14</v>
      </c>
      <c r="F96" s="652">
        <f t="shared" si="9"/>
        <v>178</v>
      </c>
      <c r="BI96"/>
      <c r="BJ96"/>
      <c r="BK96"/>
      <c r="BL96"/>
      <c r="BM96"/>
      <c r="BN96"/>
      <c r="BO96"/>
      <c r="BP96"/>
      <c r="BQ96"/>
      <c r="BR96"/>
      <c r="BS96"/>
      <c r="BT96"/>
      <c r="BU96"/>
    </row>
    <row r="97" spans="2:73" ht="21.75">
      <c r="B97" s="646">
        <v>93</v>
      </c>
      <c r="C97" s="652">
        <f>IF($C$2=20.5,'S3'!A97,IF($C$2=21.5,'S3'!B97,IF($C$2=22.5,'S3'!C97,IF($C$2=23.5,'S3'!D97,IF($C$2=24.5,'S3'!E97,IF($C$2=25.5,'S3'!F97,IF($C$2=26.5,'S3'!G97,IF($C$2=27.5,'S3'!H97,IF($C$2=28.5,'S3'!I97,IF($C$2=29.5,'S3'!J97,IF($C$2=30.5,'S3'!K97,IF($C$2=31.5,'S3'!L97))))))))))))</f>
        <v>209.58</v>
      </c>
      <c r="D97" s="652">
        <f t="shared" si="10"/>
        <v>293.41000000000003</v>
      </c>
      <c r="E97" s="969">
        <f>IF($E$2=20.5,'S3'!Y97,IF($E$2=21.5,'S3'!Z97,IF($E$2=22.5,'S3'!AA97,IF($E$2=23.5,'S3'!AB97,IF($E$2=24.5,'S3'!AC97,IF($E$2=25.5,'S3'!AD97,IF($E$2=26.5,'S3'!AE97,IF($E$2=27.5,'S3'!AF97,IF($E$2=28.5,'S3'!AG97,IF($E$2=29.5,'S3'!AH97,IF($E$2=30.5,'S3'!AI97,IF($E$2=31.5,'S3'!AJ97))))))))))))</f>
        <v>128.52000000000001</v>
      </c>
      <c r="F97" s="652">
        <f t="shared" si="9"/>
        <v>179.93</v>
      </c>
      <c r="BI97"/>
      <c r="BJ97"/>
      <c r="BK97"/>
      <c r="BL97"/>
      <c r="BM97"/>
      <c r="BN97"/>
      <c r="BO97"/>
      <c r="BP97"/>
      <c r="BQ97"/>
      <c r="BR97"/>
      <c r="BS97"/>
      <c r="BT97"/>
      <c r="BU97"/>
    </row>
    <row r="98" spans="2:73" ht="21.75">
      <c r="B98" s="646">
        <v>94</v>
      </c>
      <c r="C98" s="652">
        <f>IF($C$2=20.5,'S3'!A98,IF($C$2=21.5,'S3'!B98,IF($C$2=22.5,'S3'!C98,IF($C$2=23.5,'S3'!D98,IF($C$2=24.5,'S3'!E98,IF($C$2=25.5,'S3'!F98,IF($C$2=26.5,'S3'!G98,IF($C$2=27.5,'S3'!H98,IF($C$2=28.5,'S3'!I98,IF($C$2=29.5,'S3'!J98,IF($C$2=30.5,'S3'!K98,IF($C$2=31.5,'S3'!L98))))))))))))</f>
        <v>311.83</v>
      </c>
      <c r="D98" s="652">
        <f t="shared" si="10"/>
        <v>436.56</v>
      </c>
      <c r="E98" s="969">
        <f>IF($E$2=20.5,'S3'!Y98,IF($E$2=21.5,'S3'!Z98,IF($E$2=22.5,'S3'!AA98,IF($E$2=23.5,'S3'!AB98,IF($E$2=24.5,'S3'!AC98,IF($E$2=25.5,'S3'!AD98,IF($E$2=26.5,'S3'!AE98,IF($E$2=27.5,'S3'!AF98,IF($E$2=28.5,'S3'!AG98,IF($E$2=29.5,'S3'!AH98,IF($E$2=30.5,'S3'!AI98,IF($E$2=31.5,'S3'!AJ98))))))))))))</f>
        <v>129.9</v>
      </c>
      <c r="F98" s="652">
        <f t="shared" si="9"/>
        <v>181.86</v>
      </c>
      <c r="BI98"/>
      <c r="BJ98"/>
      <c r="BK98"/>
      <c r="BL98"/>
      <c r="BM98"/>
      <c r="BN98"/>
      <c r="BO98"/>
      <c r="BP98"/>
      <c r="BQ98"/>
      <c r="BR98"/>
      <c r="BS98"/>
      <c r="BT98"/>
      <c r="BU98"/>
    </row>
    <row r="99" spans="2:73" ht="21.75">
      <c r="B99" s="646">
        <v>95</v>
      </c>
      <c r="C99" s="652">
        <f>IF($C$2=20.5,'S3'!A99,IF($C$2=21.5,'S3'!B99,IF($C$2=22.5,'S3'!C99,IF($C$2=23.5,'S3'!D99,IF($C$2=24.5,'S3'!E99,IF($C$2=25.5,'S3'!F99,IF($C$2=26.5,'S3'!G99,IF($C$2=27.5,'S3'!H99,IF($C$2=28.5,'S3'!I99,IF($C$2=29.5,'S3'!J99,IF($C$2=30.5,'S3'!K99,IF($C$2=31.5,'S3'!L99))))))))))))</f>
        <v>213.93</v>
      </c>
      <c r="D99" s="652">
        <f t="shared" si="10"/>
        <v>299.5</v>
      </c>
      <c r="E99" s="969">
        <f>IF($E$2=20.5,'S3'!Y99,IF($E$2=21.5,'S3'!Z99,IF($E$2=22.5,'S3'!AA99,IF($E$2=23.5,'S3'!AB99,IF($E$2=24.5,'S3'!AC99,IF($E$2=25.5,'S3'!AD99,IF($E$2=26.5,'S3'!AE99,IF($E$2=27.5,'S3'!AF99,IF($E$2=28.5,'S3'!AG99,IF($E$2=29.5,'S3'!AH99,IF($E$2=30.5,'S3'!AI99,IF($E$2=31.5,'S3'!AJ99))))))))))))</f>
        <v>131.29</v>
      </c>
      <c r="F99" s="652">
        <f t="shared" si="9"/>
        <v>183.81</v>
      </c>
      <c r="BI99"/>
      <c r="BJ99"/>
      <c r="BK99"/>
      <c r="BL99"/>
      <c r="BM99"/>
      <c r="BN99"/>
      <c r="BO99"/>
      <c r="BP99"/>
      <c r="BQ99"/>
      <c r="BR99"/>
      <c r="BS99"/>
      <c r="BT99"/>
      <c r="BU99"/>
    </row>
    <row r="100" spans="2:73" ht="21.75">
      <c r="B100" s="646">
        <v>96</v>
      </c>
      <c r="C100" s="652">
        <f>IF($C$2=20.5,'S3'!A100,IF($C$2=21.5,'S3'!B100,IF($C$2=22.5,'S3'!C100,IF($C$2=23.5,'S3'!D100,IF($C$2=24.5,'S3'!E100,IF($C$2=25.5,'S3'!F100,IF($C$2=26.5,'S3'!G100,IF($C$2=27.5,'S3'!H100,IF($C$2=28.5,'S3'!I100,IF($C$2=29.5,'S3'!J100,IF($C$2=30.5,'S3'!K100,IF($C$2=31.5,'S3'!L100))))))))))))</f>
        <v>216.19</v>
      </c>
      <c r="D100" s="652">
        <f t="shared" si="10"/>
        <v>302.67</v>
      </c>
      <c r="E100" s="969">
        <f>IF($E$2=20.5,'S3'!Y100,IF($E$2=21.5,'S3'!Z100,IF($E$2=22.5,'S3'!AA100,IF($E$2=23.5,'S3'!AB100,IF($E$2=24.5,'S3'!AC100,IF($E$2=25.5,'S3'!AD100,IF($E$2=26.5,'S3'!AE100,IF($E$2=27.5,'S3'!AF100,IF($E$2=28.5,'S3'!AG100,IF($E$2=29.5,'S3'!AH100,IF($E$2=30.5,'S3'!AI100,IF($E$2=31.5,'S3'!AJ100))))))))))))</f>
        <v>132.68</v>
      </c>
      <c r="F100" s="652">
        <f t="shared" si="9"/>
        <v>185.75</v>
      </c>
      <c r="BI100"/>
      <c r="BJ100"/>
      <c r="BK100"/>
      <c r="BL100"/>
      <c r="BM100"/>
      <c r="BN100"/>
      <c r="BO100"/>
      <c r="BP100"/>
      <c r="BQ100"/>
      <c r="BR100"/>
      <c r="BS100"/>
      <c r="BT100"/>
      <c r="BU100"/>
    </row>
    <row r="101" spans="2:73" ht="21.75">
      <c r="B101" s="646">
        <v>97</v>
      </c>
      <c r="C101" s="652">
        <f>IF($C$2=20.5,'S3'!A101,IF($C$2=21.5,'S3'!B101,IF($C$2=22.5,'S3'!C101,IF($C$2=23.5,'S3'!D101,IF($C$2=24.5,'S3'!E101,IF($C$2=25.5,'S3'!F101,IF($C$2=26.5,'S3'!G101,IF($C$2=27.5,'S3'!H101,IF($C$2=28.5,'S3'!I101,IF($C$2=29.5,'S3'!J101,IF($C$2=30.5,'S3'!K101,IF($C$2=31.5,'S3'!L101))))))))))))</f>
        <v>218.47</v>
      </c>
      <c r="D101" s="652">
        <f t="shared" si="10"/>
        <v>305.86</v>
      </c>
      <c r="E101" s="969">
        <f>IF($E$2=20.5,'S3'!Y101,IF($E$2=21.5,'S3'!Z101,IF($E$2=22.5,'S3'!AA101,IF($E$2=23.5,'S3'!AB101,IF($E$2=24.5,'S3'!AC101,IF($E$2=25.5,'S3'!AD101,IF($E$2=26.5,'S3'!AE101,IF($E$2=27.5,'S3'!AF101,IF($E$2=28.5,'S3'!AG101,IF($E$2=29.5,'S3'!AH101,IF($E$2=30.5,'S3'!AI101,IF($E$2=31.5,'S3'!AJ101))))))))))))</f>
        <v>134.02000000000001</v>
      </c>
      <c r="F101" s="652">
        <f t="shared" si="9"/>
        <v>187.63</v>
      </c>
      <c r="BI101"/>
      <c r="BJ101"/>
      <c r="BK101"/>
      <c r="BL101"/>
      <c r="BM101"/>
      <c r="BN101"/>
      <c r="BO101"/>
      <c r="BP101"/>
      <c r="BQ101"/>
      <c r="BR101"/>
      <c r="BS101"/>
      <c r="BT101"/>
      <c r="BU101"/>
    </row>
    <row r="102" spans="2:73" ht="21.75">
      <c r="B102" s="646">
        <v>98</v>
      </c>
      <c r="C102" s="652">
        <f>IF($C$2=20.5,'S3'!A102,IF($C$2=21.5,'S3'!B102,IF($C$2=22.5,'S3'!C102,IF($C$2=23.5,'S3'!D102,IF($C$2=24.5,'S3'!E102,IF($C$2=25.5,'S3'!F102,IF($C$2=26.5,'S3'!G102,IF($C$2=27.5,'S3'!H102,IF($C$2=28.5,'S3'!I102,IF($C$2=29.5,'S3'!J102,IF($C$2=30.5,'S3'!K102,IF($C$2=31.5,'S3'!L102))))))))))))</f>
        <v>220.75</v>
      </c>
      <c r="D102" s="652">
        <f t="shared" si="10"/>
        <v>309.05</v>
      </c>
      <c r="E102" s="969">
        <f>IF($E$2=20.5,'S3'!Y102,IF($E$2=21.5,'S3'!Z102,IF($E$2=22.5,'S3'!AA102,IF($E$2=23.5,'S3'!AB102,IF($E$2=24.5,'S3'!AC102,IF($E$2=25.5,'S3'!AD102,IF($E$2=26.5,'S3'!AE102,IF($E$2=27.5,'S3'!AF102,IF($E$2=28.5,'S3'!AG102,IF($E$2=29.5,'S3'!AH102,IF($E$2=30.5,'S3'!AI102,IF($E$2=31.5,'S3'!AJ102))))))))))))</f>
        <v>135.41999999999999</v>
      </c>
      <c r="F102" s="652">
        <f t="shared" si="9"/>
        <v>189.59</v>
      </c>
      <c r="BI102"/>
      <c r="BJ102"/>
      <c r="BK102"/>
      <c r="BL102"/>
      <c r="BM102"/>
      <c r="BN102"/>
      <c r="BO102"/>
      <c r="BP102"/>
      <c r="BQ102"/>
      <c r="BR102"/>
      <c r="BS102"/>
      <c r="BT102"/>
      <c r="BU102"/>
    </row>
    <row r="103" spans="2:73" ht="21.75">
      <c r="B103" s="646">
        <v>99</v>
      </c>
      <c r="C103" s="652">
        <f>IF($C$2=20.5,'S3'!A103,IF($C$2=21.5,'S3'!B103,IF($C$2=22.5,'S3'!C103,IF($C$2=23.5,'S3'!D103,IF($C$2=24.5,'S3'!E103,IF($C$2=25.5,'S3'!F103,IF($C$2=26.5,'S3'!G103,IF($C$2=27.5,'S3'!H103,IF($C$2=28.5,'S3'!I103,IF($C$2=29.5,'S3'!J103,IF($C$2=30.5,'S3'!K103,IF($C$2=31.5,'S3'!L103))))))))))))</f>
        <v>223.05</v>
      </c>
      <c r="D103" s="652">
        <f t="shared" si="10"/>
        <v>312.27</v>
      </c>
      <c r="E103" s="969">
        <f>IF($E$2=20.5,'S3'!Y103,IF($E$2=21.5,'S3'!Z103,IF($E$2=22.5,'S3'!AA103,IF($E$2=23.5,'S3'!AB103,IF($E$2=24.5,'S3'!AC103,IF($E$2=25.5,'S3'!AD103,IF($E$2=26.5,'S3'!AE103,IF($E$2=27.5,'S3'!AF103,IF($E$2=28.5,'S3'!AG103,IF($E$2=29.5,'S3'!AH103,IF($E$2=30.5,'S3'!AI103,IF($E$2=31.5,'S3'!AJ103))))))))))))</f>
        <v>136.77000000000001</v>
      </c>
      <c r="F103" s="652">
        <f t="shared" si="9"/>
        <v>191.48</v>
      </c>
      <c r="BI103"/>
      <c r="BJ103"/>
      <c r="BK103"/>
      <c r="BL103"/>
      <c r="BM103"/>
      <c r="BN103"/>
      <c r="BO103"/>
      <c r="BP103"/>
      <c r="BQ103"/>
      <c r="BR103"/>
      <c r="BS103"/>
      <c r="BT103"/>
      <c r="BU103"/>
    </row>
    <row r="104" spans="2:73" ht="21.75">
      <c r="B104" s="646">
        <v>100</v>
      </c>
      <c r="C104" s="652">
        <f>IF($C$2=20.5,'S3'!A104,IF($C$2=21.5,'S3'!B104,IF($C$2=22.5,'S3'!C104,IF($C$2=23.5,'S3'!D104,IF($C$2=24.5,'S3'!E104,IF($C$2=25.5,'S3'!F104,IF($C$2=26.5,'S3'!G104,IF($C$2=27.5,'S3'!H104,IF($C$2=28.5,'S3'!I104,IF($C$2=29.5,'S3'!J104,IF($C$2=30.5,'S3'!K104,IF($C$2=31.5,'S3'!L104))))))))))))</f>
        <v>225.18</v>
      </c>
      <c r="D104" s="652">
        <f t="shared" si="10"/>
        <v>315.25</v>
      </c>
      <c r="E104" s="969">
        <f>IF($E$2=20.5,'S3'!Y104,IF($E$2=21.5,'S3'!Z104,IF($E$2=22.5,'S3'!AA104,IF($E$2=23.5,'S3'!AB104,IF($E$2=24.5,'S3'!AC104,IF($E$2=25.5,'S3'!AD104,IF($E$2=26.5,'S3'!AE104,IF($E$2=27.5,'S3'!AF104,IF($E$2=28.5,'S3'!AG104,IF($E$2=29.5,'S3'!AH104,IF($E$2=30.5,'S3'!AI104,IF($E$2=31.5,'S3'!AJ104))))))))))))</f>
        <v>138.16999999999999</v>
      </c>
      <c r="F104" s="652">
        <f t="shared" si="9"/>
        <v>193.44</v>
      </c>
      <c r="BI104"/>
      <c r="BJ104"/>
      <c r="BK104"/>
      <c r="BL104"/>
      <c r="BM104"/>
      <c r="BN104"/>
      <c r="BO104"/>
      <c r="BP104"/>
      <c r="BQ104"/>
      <c r="BR104"/>
      <c r="BS104"/>
      <c r="BT104"/>
      <c r="BU104"/>
    </row>
    <row r="105" spans="2:73" ht="21.75">
      <c r="B105" s="646">
        <v>101</v>
      </c>
      <c r="C105" s="652">
        <f>IF($C$2=20.5,'S3'!A105,IF($C$2=21.5,'S3'!B105,IF($C$2=22.5,'S3'!C105,IF($C$2=23.5,'S3'!D105,IF($C$2=24.5,'S3'!E105,IF($C$2=25.5,'S3'!F105,IF($C$2=26.5,'S3'!G105,IF($C$2=27.5,'S3'!H105,IF($C$2=28.5,'S3'!I105,IF($C$2=29.5,'S3'!J105,IF($C$2=30.5,'S3'!K105,IF($C$2=31.5,'S3'!L105))))))))))))</f>
        <v>227.5</v>
      </c>
      <c r="D105" s="652">
        <f t="shared" si="10"/>
        <v>318.5</v>
      </c>
      <c r="E105" s="969">
        <f>IF($E$2=20.5,'S3'!Y105,IF($E$2=21.5,'S3'!Z105,IF($E$2=22.5,'S3'!AA105,IF($E$2=23.5,'S3'!AB105,IF($E$2=24.5,'S3'!AC105,IF($E$2=25.5,'S3'!AD105,IF($E$2=26.5,'S3'!AE105,IF($E$2=27.5,'S3'!AF105,IF($E$2=28.5,'S3'!AG105,IF($E$2=29.5,'S3'!AH105,IF($E$2=30.5,'S3'!AI105,IF($E$2=31.5,'S3'!AJ105))))))))))))</f>
        <v>139.52000000000001</v>
      </c>
      <c r="F105" s="652">
        <f t="shared" si="9"/>
        <v>195.33</v>
      </c>
      <c r="BI105"/>
      <c r="BJ105"/>
      <c r="BK105"/>
      <c r="BL105"/>
      <c r="BM105"/>
      <c r="BN105"/>
      <c r="BO105"/>
      <c r="BP105"/>
      <c r="BQ105"/>
      <c r="BR105"/>
      <c r="BS105"/>
      <c r="BT105"/>
      <c r="BU105"/>
    </row>
    <row r="106" spans="2:73" ht="21.75">
      <c r="B106" s="646">
        <v>102</v>
      </c>
      <c r="C106" s="652">
        <f>IF($C$2=20.5,'S3'!A106,IF($C$2=21.5,'S3'!B106,IF($C$2=22.5,'S3'!C106,IF($C$2=23.5,'S3'!D106,IF($C$2=24.5,'S3'!E106,IF($C$2=25.5,'S3'!F106,IF($C$2=26.5,'S3'!G106,IF($C$2=27.5,'S3'!H106,IF($C$2=28.5,'S3'!I106,IF($C$2=29.5,'S3'!J106,IF($C$2=30.5,'S3'!K106,IF($C$2=31.5,'S3'!L106))))))))))))</f>
        <v>229.64</v>
      </c>
      <c r="D106" s="652">
        <f t="shared" si="10"/>
        <v>321.5</v>
      </c>
      <c r="E106" s="969">
        <f>IF($E$2=20.5,'S3'!Y106,IF($E$2=21.5,'S3'!Z106,IF($E$2=22.5,'S3'!AA106,IF($E$2=23.5,'S3'!AB106,IF($E$2=24.5,'S3'!AC106,IF($E$2=25.5,'S3'!AD106,IF($E$2=26.5,'S3'!AE106,IF($E$2=27.5,'S3'!AF106,IF($E$2=28.5,'S3'!AG106,IF($E$2=29.5,'S3'!AH106,IF($E$2=30.5,'S3'!AI106,IF($E$2=31.5,'S3'!AJ106))))))))))))</f>
        <v>140.93</v>
      </c>
      <c r="F106" s="652">
        <f t="shared" si="9"/>
        <v>197.3</v>
      </c>
      <c r="BI106"/>
      <c r="BJ106"/>
      <c r="BK106"/>
      <c r="BL106"/>
      <c r="BM106"/>
      <c r="BN106"/>
      <c r="BO106"/>
      <c r="BP106"/>
      <c r="BQ106"/>
      <c r="BR106"/>
      <c r="BS106"/>
      <c r="BT106"/>
      <c r="BU106"/>
    </row>
    <row r="107" spans="2:73" ht="21.75">
      <c r="B107" s="646">
        <v>103</v>
      </c>
      <c r="C107" s="652">
        <f>IF($C$2=20.5,'S3'!A107,IF($C$2=21.5,'S3'!B107,IF($C$2=22.5,'S3'!C107,IF($C$2=23.5,'S3'!D107,IF($C$2=24.5,'S3'!E107,IF($C$2=25.5,'S3'!F107,IF($C$2=26.5,'S3'!G107,IF($C$2=27.5,'S3'!H107,IF($C$2=28.5,'S3'!I107,IF($C$2=29.5,'S3'!J107,IF($C$2=30.5,'S3'!K107,IF($C$2=31.5,'S3'!L107))))))))))))</f>
        <v>231.98</v>
      </c>
      <c r="D107" s="652">
        <f t="shared" si="10"/>
        <v>324.77</v>
      </c>
      <c r="E107" s="969">
        <f>IF($E$2=20.5,'S3'!Y107,IF($E$2=21.5,'S3'!Z107,IF($E$2=22.5,'S3'!AA107,IF($E$2=23.5,'S3'!AB107,IF($E$2=24.5,'S3'!AC107,IF($E$2=25.5,'S3'!AD107,IF($E$2=26.5,'S3'!AE107,IF($E$2=27.5,'S3'!AF107,IF($E$2=28.5,'S3'!AG107,IF($E$2=29.5,'S3'!AH107,IF($E$2=30.5,'S3'!AI107,IF($E$2=31.5,'S3'!AJ107))))))))))))</f>
        <v>142.28</v>
      </c>
      <c r="F107" s="652">
        <f t="shared" si="9"/>
        <v>199.19</v>
      </c>
      <c r="BI107"/>
      <c r="BJ107"/>
      <c r="BK107"/>
      <c r="BL107"/>
      <c r="BM107"/>
      <c r="BN107"/>
      <c r="BO107"/>
      <c r="BP107"/>
      <c r="BQ107"/>
      <c r="BR107"/>
      <c r="BS107"/>
      <c r="BT107"/>
      <c r="BU107"/>
    </row>
    <row r="108" spans="2:73" ht="21.75">
      <c r="B108" s="646">
        <v>104</v>
      </c>
      <c r="C108" s="652">
        <f>IF($C$2=20.5,'S3'!A108,IF($C$2=21.5,'S3'!B108,IF($C$2=22.5,'S3'!C108,IF($C$2=23.5,'S3'!D108,IF($C$2=24.5,'S3'!E108,IF($C$2=25.5,'S3'!F108,IF($C$2=26.5,'S3'!G108,IF($C$2=27.5,'S3'!H108,IF($C$2=28.5,'S3'!I108,IF($C$2=29.5,'S3'!J108,IF($C$2=30.5,'S3'!K108,IF($C$2=31.5,'S3'!L108))))))))))))</f>
        <v>234.14</v>
      </c>
      <c r="D108" s="652">
        <f t="shared" si="10"/>
        <v>327.8</v>
      </c>
      <c r="E108" s="969">
        <f>IF($E$2=20.5,'S3'!Y108,IF($E$2=21.5,'S3'!Z108,IF($E$2=22.5,'S3'!AA108,IF($E$2=23.5,'S3'!AB108,IF($E$2=24.5,'S3'!AC108,IF($E$2=25.5,'S3'!AD108,IF($E$2=26.5,'S3'!AE108,IF($E$2=27.5,'S3'!AF108,IF($E$2=28.5,'S3'!AG108,IF($E$2=29.5,'S3'!AH108,IF($E$2=30.5,'S3'!AI108,IF($E$2=31.5,'S3'!AJ108))))))))))))</f>
        <v>143.63999999999999</v>
      </c>
      <c r="F108" s="652">
        <f t="shared" si="9"/>
        <v>201.1</v>
      </c>
      <c r="BI108"/>
      <c r="BJ108"/>
      <c r="BK108"/>
      <c r="BL108"/>
      <c r="BM108"/>
      <c r="BN108"/>
      <c r="BO108"/>
      <c r="BP108"/>
      <c r="BQ108"/>
      <c r="BR108"/>
      <c r="BS108"/>
      <c r="BT108"/>
      <c r="BU108"/>
    </row>
    <row r="109" spans="2:73" ht="21.75">
      <c r="B109" s="646">
        <v>105</v>
      </c>
      <c r="C109" s="652">
        <f>IF($C$2=20.5,'S3'!A109,IF($C$2=21.5,'S3'!B109,IF($C$2=22.5,'S3'!C109,IF($C$2=23.5,'S3'!D109,IF($C$2=24.5,'S3'!E109,IF($C$2=25.5,'S3'!F109,IF($C$2=26.5,'S3'!G109,IF($C$2=27.5,'S3'!H109,IF($C$2=28.5,'S3'!I109,IF($C$2=29.5,'S3'!J109,IF($C$2=30.5,'S3'!K109,IF($C$2=31.5,'S3'!L109))))))))))))</f>
        <v>236.5</v>
      </c>
      <c r="D109" s="652">
        <f t="shared" si="10"/>
        <v>331.1</v>
      </c>
      <c r="E109" s="969">
        <f>IF($E$2=20.5,'S3'!Y109,IF($E$2=21.5,'S3'!Z109,IF($E$2=22.5,'S3'!AA109,IF($E$2=23.5,'S3'!AB109,IF($E$2=24.5,'S3'!AC109,IF($E$2=25.5,'S3'!AD109,IF($E$2=26.5,'S3'!AE109,IF($E$2=27.5,'S3'!AF109,IF($E$2=28.5,'S3'!AG109,IF($E$2=29.5,'S3'!AH109,IF($E$2=30.5,'S3'!AI109,IF($E$2=31.5,'S3'!AJ109))))))))))))</f>
        <v>145.06</v>
      </c>
      <c r="F109" s="652">
        <f t="shared" si="9"/>
        <v>203.08</v>
      </c>
      <c r="BI109"/>
      <c r="BJ109"/>
      <c r="BK109"/>
      <c r="BL109"/>
      <c r="BM109"/>
      <c r="BN109"/>
      <c r="BO109"/>
      <c r="BP109"/>
      <c r="BQ109"/>
      <c r="BR109"/>
      <c r="BS109"/>
      <c r="BT109"/>
      <c r="BU109"/>
    </row>
    <row r="110" spans="2:73" ht="21.75">
      <c r="B110" s="646">
        <v>106</v>
      </c>
      <c r="C110" s="652">
        <f>IF($C$2=20.5,'S3'!A110,IF($C$2=21.5,'S3'!B110,IF($C$2=22.5,'S3'!C110,IF($C$2=23.5,'S3'!D110,IF($C$2=24.5,'S3'!E110,IF($C$2=25.5,'S3'!F110,IF($C$2=26.5,'S3'!G110,IF($C$2=27.5,'S3'!H110,IF($C$2=28.5,'S3'!I110,IF($C$2=29.5,'S3'!J110,IF($C$2=30.5,'S3'!K110,IF($C$2=31.5,'S3'!L110))))))))))))</f>
        <v>238.67</v>
      </c>
      <c r="D110" s="652">
        <f t="shared" si="10"/>
        <v>334.14</v>
      </c>
      <c r="E110" s="969">
        <f>IF($E$2=20.5,'S3'!Y110,IF($E$2=21.5,'S3'!Z110,IF($E$2=22.5,'S3'!AA110,IF($E$2=23.5,'S3'!AB110,IF($E$2=24.5,'S3'!AC110,IF($E$2=25.5,'S3'!AD110,IF($E$2=26.5,'S3'!AE110,IF($E$2=27.5,'S3'!AF110,IF($E$2=28.5,'S3'!AG110,IF($E$2=29.5,'S3'!AH110,IF($E$2=30.5,'S3'!AI110,IF($E$2=31.5,'S3'!AJ110))))))))))))</f>
        <v>146.41999999999999</v>
      </c>
      <c r="F110" s="652">
        <f t="shared" si="9"/>
        <v>204.99</v>
      </c>
      <c r="BI110"/>
      <c r="BJ110"/>
      <c r="BK110"/>
      <c r="BL110"/>
      <c r="BM110"/>
      <c r="BN110"/>
      <c r="BO110"/>
      <c r="BP110"/>
      <c r="BQ110"/>
      <c r="BR110"/>
      <c r="BS110"/>
      <c r="BT110"/>
      <c r="BU110"/>
    </row>
    <row r="111" spans="2:73" ht="21.75">
      <c r="B111" s="646">
        <v>107</v>
      </c>
      <c r="C111" s="652">
        <f>IF($C$2=20.5,'S3'!A111,IF($C$2=21.5,'S3'!B111,IF($C$2=22.5,'S3'!C111,IF($C$2=23.5,'S3'!D111,IF($C$2=24.5,'S3'!E111,IF($C$2=25.5,'S3'!F111,IF($C$2=26.5,'S3'!G111,IF($C$2=27.5,'S3'!H111,IF($C$2=28.5,'S3'!I111,IF($C$2=29.5,'S3'!J111,IF($C$2=30.5,'S3'!K111,IF($C$2=31.5,'S3'!L111))))))))))))</f>
        <v>240.85</v>
      </c>
      <c r="D111" s="652">
        <f t="shared" si="10"/>
        <v>337.19</v>
      </c>
      <c r="E111" s="969">
        <f>IF($E$2=20.5,'S3'!Y111,IF($E$2=21.5,'S3'!Z111,IF($E$2=22.5,'S3'!AA111,IF($E$2=23.5,'S3'!AB111,IF($E$2=24.5,'S3'!AC111,IF($E$2=25.5,'S3'!AD111,IF($E$2=26.5,'S3'!AE111,IF($E$2=27.5,'S3'!AF111,IF($E$2=28.5,'S3'!AG111,IF($E$2=29.5,'S3'!AH111,IF($E$2=30.5,'S3'!AI111,IF($E$2=31.5,'S3'!AJ111))))))))))))</f>
        <v>147.79</v>
      </c>
      <c r="F111" s="652">
        <f t="shared" si="9"/>
        <v>206.91</v>
      </c>
      <c r="BI111"/>
      <c r="BJ111"/>
      <c r="BK111"/>
      <c r="BL111"/>
      <c r="BM111"/>
      <c r="BN111"/>
      <c r="BO111"/>
      <c r="BP111"/>
      <c r="BQ111"/>
      <c r="BR111"/>
      <c r="BS111"/>
      <c r="BT111"/>
      <c r="BU111"/>
    </row>
    <row r="112" spans="2:73" ht="21.75">
      <c r="B112" s="646">
        <v>108</v>
      </c>
      <c r="C112" s="652">
        <f>IF($C$2=20.5,'S3'!A112,IF($C$2=21.5,'S3'!B112,IF($C$2=22.5,'S3'!C112,IF($C$2=23.5,'S3'!D112,IF($C$2=24.5,'S3'!E112,IF($C$2=25.5,'S3'!F112,IF($C$2=26.5,'S3'!G112,IF($C$2=27.5,'S3'!H112,IF($C$2=28.5,'S3'!I112,IF($C$2=29.5,'S3'!J112,IF($C$2=30.5,'S3'!K112,IF($C$2=31.5,'S3'!L112))))))))))))</f>
        <v>243.04</v>
      </c>
      <c r="D112" s="652">
        <f t="shared" si="10"/>
        <v>340.26</v>
      </c>
      <c r="E112" s="969">
        <f>IF($E$2=20.5,'S3'!Y112,IF($E$2=21.5,'S3'!Z112,IF($E$2=22.5,'S3'!AA112,IF($E$2=23.5,'S3'!AB112,IF($E$2=24.5,'S3'!AC112,IF($E$2=25.5,'S3'!AD112,IF($E$2=26.5,'S3'!AE112,IF($E$2=27.5,'S3'!AF112,IF($E$2=28.5,'S3'!AG112,IF($E$2=29.5,'S3'!AH112,IF($E$2=30.5,'S3'!AI112,IF($E$2=31.5,'S3'!AJ112))))))))))))</f>
        <v>149.15</v>
      </c>
      <c r="F112" s="652">
        <f t="shared" si="9"/>
        <v>208.81</v>
      </c>
      <c r="BI112"/>
      <c r="BJ112"/>
      <c r="BK112"/>
      <c r="BL112"/>
      <c r="BM112"/>
      <c r="BN112"/>
      <c r="BO112"/>
      <c r="BP112"/>
      <c r="BQ112"/>
      <c r="BR112"/>
      <c r="BS112"/>
      <c r="BT112"/>
      <c r="BU112"/>
    </row>
    <row r="113" spans="2:73" ht="21.75">
      <c r="B113" s="646">
        <v>109</v>
      </c>
      <c r="C113" s="652">
        <f>IF($C$2=20.5,'S3'!A113,IF($C$2=21.5,'S3'!B113,IF($C$2=22.5,'S3'!C113,IF($C$2=23.5,'S3'!D113,IF($C$2=24.5,'S3'!E113,IF($C$2=25.5,'S3'!F113,IF($C$2=26.5,'S3'!G113,IF($C$2=27.5,'S3'!H113,IF($C$2=28.5,'S3'!I113,IF($C$2=29.5,'S3'!J113,IF($C$2=30.5,'S3'!K113,IF($C$2=31.5,'S3'!L113))))))))))))</f>
        <v>245.44</v>
      </c>
      <c r="D113" s="652">
        <f t="shared" si="10"/>
        <v>343.62</v>
      </c>
      <c r="E113" s="969">
        <f>IF($E$2=20.5,'S3'!Y113,IF($E$2=21.5,'S3'!Z113,IF($E$2=22.5,'S3'!AA113,IF($E$2=23.5,'S3'!AB113,IF($E$2=24.5,'S3'!AC113,IF($E$2=25.5,'S3'!AD113,IF($E$2=26.5,'S3'!AE113,IF($E$2=27.5,'S3'!AF113,IF($E$2=28.5,'S3'!AG113,IF($E$2=29.5,'S3'!AH113,IF($E$2=30.5,'S3'!AI113,IF($E$2=31.5,'S3'!AJ113))))))))))))</f>
        <v>150.52000000000001</v>
      </c>
      <c r="F113" s="652">
        <f t="shared" si="9"/>
        <v>210.73</v>
      </c>
      <c r="BI113"/>
      <c r="BJ113"/>
      <c r="BK113"/>
      <c r="BL113"/>
      <c r="BM113"/>
      <c r="BN113"/>
      <c r="BO113"/>
      <c r="BP113"/>
      <c r="BQ113"/>
      <c r="BR113"/>
      <c r="BS113"/>
      <c r="BT113"/>
      <c r="BU113"/>
    </row>
    <row r="114" spans="2:73" ht="21.75">
      <c r="B114" s="646">
        <v>110</v>
      </c>
      <c r="C114" s="652">
        <f>IF($C$2=20.5,'S3'!A114,IF($C$2=21.5,'S3'!B114,IF($C$2=22.5,'S3'!C114,IF($C$2=23.5,'S3'!D114,IF($C$2=24.5,'S3'!E114,IF($C$2=25.5,'S3'!F114,IF($C$2=26.5,'S3'!G114,IF($C$2=27.5,'S3'!H114,IF($C$2=28.5,'S3'!I114,IF($C$2=29.5,'S3'!J114,IF($C$2=30.5,'S3'!K114,IF($C$2=31.5,'S3'!L114))))))))))))</f>
        <v>247.64</v>
      </c>
      <c r="D114" s="652">
        <f t="shared" si="10"/>
        <v>346.7</v>
      </c>
      <c r="E114" s="969">
        <f>IF($E$2=20.5,'S3'!Y114,IF($E$2=21.5,'S3'!Z114,IF($E$2=22.5,'S3'!AA114,IF($E$2=23.5,'S3'!AB114,IF($E$2=24.5,'S3'!AC114,IF($E$2=25.5,'S3'!AD114,IF($E$2=26.5,'S3'!AE114,IF($E$2=27.5,'S3'!AF114,IF($E$2=28.5,'S3'!AG114,IF($E$2=29.5,'S3'!AH114,IF($E$2=30.5,'S3'!AI114,IF($E$2=31.5,'S3'!AJ114))))))))))))</f>
        <v>151.88999999999999</v>
      </c>
      <c r="F114" s="652">
        <f t="shared" si="9"/>
        <v>212.65</v>
      </c>
      <c r="BI114"/>
      <c r="BJ114"/>
      <c r="BK114"/>
      <c r="BL114"/>
      <c r="BM114"/>
      <c r="BN114"/>
      <c r="BO114"/>
      <c r="BP114"/>
      <c r="BQ114"/>
      <c r="BR114"/>
      <c r="BS114"/>
      <c r="BT114"/>
      <c r="BU114"/>
    </row>
    <row r="115" spans="2:73" ht="21.75">
      <c r="B115" s="646">
        <v>111</v>
      </c>
      <c r="C115" s="652">
        <f>IF($C$2=20.5,'S3'!A115,IF($C$2=21.5,'S3'!B115,IF($C$2=22.5,'S3'!C115,IF($C$2=23.5,'S3'!D115,IF($C$2=24.5,'S3'!E115,IF($C$2=25.5,'S3'!F115,IF($C$2=26.5,'S3'!G115,IF($C$2=27.5,'S3'!H115,IF($C$2=28.5,'S3'!I115,IF($C$2=29.5,'S3'!J115,IF($C$2=30.5,'S3'!K115,IF($C$2=31.5,'S3'!L115))))))))))))</f>
        <v>249.86</v>
      </c>
      <c r="D115" s="652">
        <f t="shared" si="10"/>
        <v>349.8</v>
      </c>
      <c r="E115" s="969">
        <f>IF($E$2=20.5,'S3'!Y115,IF($E$2=21.5,'S3'!Z115,IF($E$2=22.5,'S3'!AA115,IF($E$2=23.5,'S3'!AB115,IF($E$2=24.5,'S3'!AC115,IF($E$2=25.5,'S3'!AD115,IF($E$2=26.5,'S3'!AE115,IF($E$2=27.5,'S3'!AF115,IF($E$2=28.5,'S3'!AG115,IF($E$2=29.5,'S3'!AH115,IF($E$2=30.5,'S3'!AI115,IF($E$2=31.5,'S3'!AJ115))))))))))))</f>
        <v>153.27000000000001</v>
      </c>
      <c r="F115" s="652">
        <f t="shared" si="9"/>
        <v>214.58</v>
      </c>
      <c r="BI115"/>
      <c r="BJ115"/>
      <c r="BK115"/>
      <c r="BL115"/>
      <c r="BM115"/>
      <c r="BN115"/>
      <c r="BO115"/>
      <c r="BP115"/>
      <c r="BQ115"/>
      <c r="BR115"/>
      <c r="BS115"/>
      <c r="BT115"/>
      <c r="BU115"/>
    </row>
    <row r="116" spans="2:73" ht="21.75">
      <c r="B116" s="646">
        <v>112</v>
      </c>
      <c r="C116" s="652">
        <f>IF($C$2=20.5,'S3'!A116,IF($C$2=21.5,'S3'!B116,IF($C$2=22.5,'S3'!C116,IF($C$2=23.5,'S3'!D116,IF($C$2=24.5,'S3'!E116,IF($C$2=25.5,'S3'!F116,IF($C$2=26.5,'S3'!G116,IF($C$2=27.5,'S3'!H116,IF($C$2=28.5,'S3'!I116,IF($C$2=29.5,'S3'!J116,IF($C$2=30.5,'S3'!K116,IF($C$2=31.5,'S3'!L116))))))))))))</f>
        <v>252.08</v>
      </c>
      <c r="D116" s="652">
        <f t="shared" si="10"/>
        <v>352.91</v>
      </c>
      <c r="E116" s="969">
        <f>IF($E$2=20.5,'S3'!Y116,IF($E$2=21.5,'S3'!Z116,IF($E$2=22.5,'S3'!AA116,IF($E$2=23.5,'S3'!AB116,IF($E$2=24.5,'S3'!AC116,IF($E$2=25.5,'S3'!AD116,IF($E$2=26.5,'S3'!AE116,IF($E$2=27.5,'S3'!AF116,IF($E$2=28.5,'S3'!AG116,IF($E$2=29.5,'S3'!AH116,IF($E$2=30.5,'S3'!AI116,IF($E$2=31.5,'S3'!AJ116))))))))))))</f>
        <v>154.63999999999999</v>
      </c>
      <c r="F116" s="652">
        <f t="shared" si="9"/>
        <v>216.5</v>
      </c>
      <c r="BI116"/>
      <c r="BJ116"/>
      <c r="BK116"/>
      <c r="BL116"/>
      <c r="BM116"/>
      <c r="BN116"/>
      <c r="BO116"/>
      <c r="BP116"/>
      <c r="BQ116"/>
      <c r="BR116"/>
      <c r="BS116"/>
      <c r="BT116"/>
      <c r="BU116"/>
    </row>
    <row r="117" spans="2:73" ht="21.75">
      <c r="B117" s="646">
        <v>113</v>
      </c>
      <c r="C117" s="652">
        <f>IF($C$2=20.5,'S3'!A117,IF($C$2=21.5,'S3'!B117,IF($C$2=22.5,'S3'!C117,IF($C$2=23.5,'S3'!D117,IF($C$2=24.5,'S3'!E117,IF($C$2=25.5,'S3'!F117,IF($C$2=26.5,'S3'!G117,IF($C$2=27.5,'S3'!H117,IF($C$2=28.5,'S3'!I117,IF($C$2=29.5,'S3'!J117,IF($C$2=30.5,'S3'!K117,IF($C$2=31.5,'S3'!L117))))))))))))</f>
        <v>254.3</v>
      </c>
      <c r="D117" s="652">
        <f t="shared" si="10"/>
        <v>356.02</v>
      </c>
      <c r="E117" s="969">
        <f>IF($E$2=20.5,'S3'!Y117,IF($E$2=21.5,'S3'!Z117,IF($E$2=22.5,'S3'!AA117,IF($E$2=23.5,'S3'!AB117,IF($E$2=24.5,'S3'!AC117,IF($E$2=25.5,'S3'!AD117,IF($E$2=26.5,'S3'!AE117,IF($E$2=27.5,'S3'!AF117,IF($E$2=28.5,'S3'!AG117,IF($E$2=29.5,'S3'!AH117,IF($E$2=30.5,'S3'!AI117,IF($E$2=31.5,'S3'!AJ117))))))))))))</f>
        <v>156.02000000000001</v>
      </c>
      <c r="F117" s="652">
        <f t="shared" si="9"/>
        <v>218.43</v>
      </c>
      <c r="BI117"/>
      <c r="BJ117"/>
      <c r="BK117"/>
      <c r="BL117"/>
      <c r="BM117"/>
      <c r="BN117"/>
      <c r="BO117"/>
      <c r="BP117"/>
      <c r="BQ117"/>
      <c r="BR117"/>
      <c r="BS117"/>
      <c r="BT117"/>
      <c r="BU117"/>
    </row>
    <row r="118" spans="2:73" ht="21.75">
      <c r="B118" s="646">
        <v>114</v>
      </c>
      <c r="C118" s="652">
        <f>IF($C$2=20.5,'S3'!A118,IF($C$2=21.5,'S3'!B118,IF($C$2=22.5,'S3'!C118,IF($C$2=23.5,'S3'!D118,IF($C$2=24.5,'S3'!E118,IF($C$2=25.5,'S3'!F118,IF($C$2=26.5,'S3'!G118,IF($C$2=27.5,'S3'!H118,IF($C$2=28.5,'S3'!I118,IF($C$2=29.5,'S3'!J118,IF($C$2=30.5,'S3'!K118,IF($C$2=31.5,'S3'!L118))))))))))))</f>
        <v>256.52999999999997</v>
      </c>
      <c r="D118" s="652">
        <f t="shared" si="10"/>
        <v>359.14</v>
      </c>
      <c r="E118" s="969">
        <f>IF($E$2=20.5,'S3'!Y118,IF($E$2=21.5,'S3'!Z118,IF($E$2=22.5,'S3'!AA118,IF($E$2=23.5,'S3'!AB118,IF($E$2=24.5,'S3'!AC118,IF($E$2=25.5,'S3'!AD118,IF($E$2=26.5,'S3'!AE118,IF($E$2=27.5,'S3'!AF118,IF($E$2=28.5,'S3'!AG118,IF($E$2=29.5,'S3'!AH118,IF($E$2=30.5,'S3'!AI118,IF($E$2=31.5,'S3'!AJ118))))))))))))</f>
        <v>157.4</v>
      </c>
      <c r="F118" s="652">
        <f t="shared" si="9"/>
        <v>220.36</v>
      </c>
      <c r="BI118"/>
      <c r="BJ118"/>
      <c r="BK118"/>
      <c r="BL118"/>
      <c r="BM118"/>
      <c r="BN118"/>
      <c r="BO118"/>
      <c r="BP118"/>
      <c r="BQ118"/>
      <c r="BR118"/>
      <c r="BS118"/>
      <c r="BT118"/>
      <c r="BU118"/>
    </row>
    <row r="119" spans="2:73" ht="21.75">
      <c r="B119" s="646">
        <v>115</v>
      </c>
      <c r="C119" s="652">
        <f>IF($C$2=20.5,'S3'!A119,IF($C$2=21.5,'S3'!B119,IF($C$2=22.5,'S3'!C119,IF($C$2=23.5,'S3'!D119,IF($C$2=24.5,'S3'!E119,IF($C$2=25.5,'S3'!F119,IF($C$2=26.5,'S3'!G119,IF($C$2=27.5,'S3'!H119,IF($C$2=28.5,'S3'!I119,IF($C$2=29.5,'S3'!J119,IF($C$2=30.5,'S3'!K119,IF($C$2=31.5,'S3'!L119))))))))))))</f>
        <v>258.77</v>
      </c>
      <c r="D119" s="652">
        <f t="shared" si="10"/>
        <v>362.28</v>
      </c>
      <c r="E119" s="969">
        <f>IF($E$2=20.5,'S3'!Y119,IF($E$2=21.5,'S3'!Z119,IF($E$2=22.5,'S3'!AA119,IF($E$2=23.5,'S3'!AB119,IF($E$2=24.5,'S3'!AC119,IF($E$2=25.5,'S3'!AD119,IF($E$2=26.5,'S3'!AE119,IF($E$2=27.5,'S3'!AF119,IF($E$2=28.5,'S3'!AG119,IF($E$2=29.5,'S3'!AH119,IF($E$2=30.5,'S3'!AI119,IF($E$2=31.5,'S3'!AJ119))))))))))))</f>
        <v>158.78</v>
      </c>
      <c r="F119" s="652">
        <f t="shared" si="9"/>
        <v>222.29</v>
      </c>
      <c r="BI119"/>
      <c r="BJ119"/>
      <c r="BK119"/>
      <c r="BL119"/>
      <c r="BM119"/>
      <c r="BN119"/>
      <c r="BO119"/>
      <c r="BP119"/>
      <c r="BQ119"/>
      <c r="BR119"/>
      <c r="BS119"/>
      <c r="BT119"/>
      <c r="BU119"/>
    </row>
    <row r="120" spans="2:73" ht="21.75">
      <c r="B120" s="646">
        <v>116</v>
      </c>
      <c r="C120" s="652">
        <f>IF($C$2=20.5,'S3'!A120,IF($C$2=21.5,'S3'!B120,IF($C$2=22.5,'S3'!C120,IF($C$2=23.5,'S3'!D120,IF($C$2=24.5,'S3'!E120,IF($C$2=25.5,'S3'!F120,IF($C$2=26.5,'S3'!G120,IF($C$2=27.5,'S3'!H120,IF($C$2=28.5,'S3'!I120,IF($C$2=29.5,'S3'!J120,IF($C$2=30.5,'S3'!K120,IF($C$2=31.5,'S3'!L120))))))))))))</f>
        <v>261.02</v>
      </c>
      <c r="D120" s="652">
        <f t="shared" si="10"/>
        <v>365.43</v>
      </c>
      <c r="E120" s="969">
        <f>IF($E$2=20.5,'S3'!Y120,IF($E$2=21.5,'S3'!Z120,IF($E$2=22.5,'S3'!AA120,IF($E$2=23.5,'S3'!AB120,IF($E$2=24.5,'S3'!AC120,IF($E$2=25.5,'S3'!AD120,IF($E$2=26.5,'S3'!AE120,IF($E$2=27.5,'S3'!AF120,IF($E$2=28.5,'S3'!AG120,IF($E$2=29.5,'S3'!AH120,IF($E$2=30.5,'S3'!AI120,IF($E$2=31.5,'S3'!AJ120))))))))))))</f>
        <v>160.16</v>
      </c>
      <c r="F120" s="652">
        <f t="shared" si="9"/>
        <v>224.22</v>
      </c>
      <c r="BI120"/>
      <c r="BJ120"/>
      <c r="BK120"/>
      <c r="BL120"/>
      <c r="BM120"/>
      <c r="BN120"/>
      <c r="BO120"/>
      <c r="BP120"/>
      <c r="BQ120"/>
      <c r="BR120"/>
      <c r="BS120"/>
      <c r="BT120"/>
      <c r="BU120"/>
    </row>
    <row r="121" spans="2:73" ht="21.75">
      <c r="B121" s="646">
        <v>117</v>
      </c>
      <c r="C121" s="652">
        <f>IF($C$2=20.5,'S3'!A121,IF($C$2=21.5,'S3'!B121,IF($C$2=22.5,'S3'!C121,IF($C$2=23.5,'S3'!D121,IF($C$2=24.5,'S3'!E121,IF($C$2=25.5,'S3'!F121,IF($C$2=26.5,'S3'!G121,IF($C$2=27.5,'S3'!H121,IF($C$2=28.5,'S3'!I121,IF($C$2=29.5,'S3'!J121,IF($C$2=30.5,'S3'!K121,IF($C$2=31.5,'S3'!L121))))))))))))</f>
        <v>265.27999999999997</v>
      </c>
      <c r="D121" s="652">
        <f t="shared" si="10"/>
        <v>371.39</v>
      </c>
      <c r="E121" s="969">
        <f>IF($E$2=20.5,'S3'!Y121,IF($E$2=21.5,'S3'!Z121,IF($E$2=22.5,'S3'!AA121,IF($E$2=23.5,'S3'!AB121,IF($E$2=24.5,'S3'!AC121,IF($E$2=25.5,'S3'!AD121,IF($E$2=26.5,'S3'!AE121,IF($E$2=27.5,'S3'!AF121,IF($E$2=28.5,'S3'!AG121,IF($E$2=29.5,'S3'!AH121,IF($E$2=30.5,'S3'!AI121,IF($E$2=31.5,'S3'!AJ121))))))))))))</f>
        <v>161.54</v>
      </c>
      <c r="F121" s="652">
        <f t="shared" si="9"/>
        <v>226.16</v>
      </c>
      <c r="BI121"/>
      <c r="BJ121"/>
      <c r="BK121"/>
      <c r="BL121"/>
      <c r="BM121"/>
      <c r="BN121"/>
      <c r="BO121"/>
      <c r="BP121"/>
      <c r="BQ121"/>
      <c r="BR121"/>
      <c r="BS121"/>
      <c r="BT121"/>
      <c r="BU121"/>
    </row>
    <row r="122" spans="2:73" ht="21.75">
      <c r="B122" s="646">
        <v>118</v>
      </c>
      <c r="C122" s="652">
        <f>IF($C$2=20.5,'S3'!A122,IF($C$2=21.5,'S3'!B122,IF($C$2=22.5,'S3'!C122,IF($C$2=23.5,'S3'!D122,IF($C$2=24.5,'S3'!E122,IF($C$2=25.5,'S3'!F122,IF($C$2=26.5,'S3'!G122,IF($C$2=27.5,'S3'!H122,IF($C$2=28.5,'S3'!I122,IF($C$2=29.5,'S3'!J122,IF($C$2=30.5,'S3'!K122,IF($C$2=31.5,'S3'!L122))))))))))))</f>
        <v>265.54000000000002</v>
      </c>
      <c r="D122" s="652">
        <f t="shared" si="10"/>
        <v>371.76</v>
      </c>
      <c r="E122" s="969">
        <f>IF($E$2=20.5,'S3'!Y122,IF($E$2=21.5,'S3'!Z122,IF($E$2=22.5,'S3'!AA122,IF($E$2=23.5,'S3'!AB122,IF($E$2=24.5,'S3'!AC122,IF($E$2=25.5,'S3'!AD122,IF($E$2=26.5,'S3'!AE122,IF($E$2=27.5,'S3'!AF122,IF($E$2=28.5,'S3'!AG122,IF($E$2=29.5,'S3'!AH122,IF($E$2=30.5,'S3'!AI122,IF($E$2=31.5,'S3'!AJ122))))))))))))</f>
        <v>162.91999999999999</v>
      </c>
      <c r="F122" s="652">
        <f t="shared" si="9"/>
        <v>228.09</v>
      </c>
      <c r="BI122"/>
      <c r="BJ122"/>
      <c r="BK122"/>
      <c r="BL122"/>
      <c r="BM122"/>
      <c r="BN122"/>
      <c r="BO122"/>
      <c r="BP122"/>
      <c r="BQ122"/>
      <c r="BR122"/>
      <c r="BS122"/>
      <c r="BT122"/>
      <c r="BU122"/>
    </row>
    <row r="123" spans="2:73" ht="21.75">
      <c r="B123" s="646">
        <v>119</v>
      </c>
      <c r="C123" s="652">
        <f>IF($C$2=20.5,'S3'!A123,IF($C$2=21.5,'S3'!B123,IF($C$2=22.5,'S3'!C123,IF($C$2=23.5,'S3'!D123,IF($C$2=24.5,'S3'!E123,IF($C$2=25.5,'S3'!F123,IF($C$2=26.5,'S3'!G123,IF($C$2=27.5,'S3'!H123,IF($C$2=28.5,'S3'!I123,IF($C$2=29.5,'S3'!J123,IF($C$2=30.5,'S3'!K123,IF($C$2=31.5,'S3'!L123))))))))))))</f>
        <v>267.8</v>
      </c>
      <c r="D123" s="652">
        <f t="shared" si="10"/>
        <v>374.92</v>
      </c>
      <c r="E123" s="969">
        <f>IF($E$2=20.5,'S3'!Y123,IF($E$2=21.5,'S3'!Z123,IF($E$2=22.5,'S3'!AA123,IF($E$2=23.5,'S3'!AB123,IF($E$2=24.5,'S3'!AC123,IF($E$2=25.5,'S3'!AD123,IF($E$2=26.5,'S3'!AE123,IF($E$2=27.5,'S3'!AF123,IF($E$2=28.5,'S3'!AG123,IF($E$2=29.5,'S3'!AH123,IF($E$2=30.5,'S3'!AI123,IF($E$2=31.5,'S3'!AJ123))))))))))))</f>
        <v>164.3</v>
      </c>
      <c r="F123" s="652">
        <f t="shared" si="9"/>
        <v>230.02</v>
      </c>
      <c r="BI123"/>
      <c r="BJ123"/>
      <c r="BK123"/>
      <c r="BL123"/>
      <c r="BM123"/>
      <c r="BN123"/>
      <c r="BO123"/>
      <c r="BP123"/>
      <c r="BQ123"/>
      <c r="BR123"/>
      <c r="BS123"/>
      <c r="BT123"/>
      <c r="BU123"/>
    </row>
    <row r="124" spans="2:73" ht="21.75">
      <c r="B124" s="646">
        <v>120</v>
      </c>
      <c r="C124" s="652">
        <f>IF($C$2=20.5,'S3'!A124,IF($C$2=21.5,'S3'!B124,IF($C$2=22.5,'S3'!C124,IF($C$2=23.5,'S3'!D124,IF($C$2=24.5,'S3'!E124,IF($C$2=25.5,'S3'!F124,IF($C$2=26.5,'S3'!G124,IF($C$2=27.5,'S3'!H124,IF($C$2=28.5,'S3'!I124,IF($C$2=29.5,'S3'!J124,IF($C$2=30.5,'S3'!K124,IF($C$2=31.5,'S3'!L124))))))))))))</f>
        <v>270.10000000000002</v>
      </c>
      <c r="D124" s="652">
        <f t="shared" si="10"/>
        <v>378.14</v>
      </c>
      <c r="E124" s="969">
        <f>IF($E$2=20.5,'S3'!Y124,IF($E$2=21.5,'S3'!Z124,IF($E$2=22.5,'S3'!AA124,IF($E$2=23.5,'S3'!AB124,IF($E$2=24.5,'S3'!AC124,IF($E$2=25.5,'S3'!AD124,IF($E$2=26.5,'S3'!AE124,IF($E$2=27.5,'S3'!AF124,IF($E$2=28.5,'S3'!AG124,IF($E$2=29.5,'S3'!AH124,IF($E$2=30.5,'S3'!AI124,IF($E$2=31.5,'S3'!AJ124))))))))))))</f>
        <v>165.68</v>
      </c>
      <c r="F124" s="652">
        <f t="shared" si="9"/>
        <v>231.95</v>
      </c>
      <c r="BI124"/>
      <c r="BJ124"/>
      <c r="BK124"/>
      <c r="BL124"/>
      <c r="BM124"/>
      <c r="BN124"/>
      <c r="BO124"/>
      <c r="BP124"/>
      <c r="BQ124"/>
      <c r="BR124"/>
      <c r="BS124"/>
      <c r="BT124"/>
      <c r="BU124"/>
    </row>
    <row r="125" spans="2:73" ht="21.75">
      <c r="B125" s="646">
        <v>121</v>
      </c>
      <c r="C125" s="652">
        <f>IF($C$2=20.5,'S3'!A125,IF($C$2=21.5,'S3'!B125,IF($C$2=22.5,'S3'!C125,IF($C$2=23.5,'S3'!D125,IF($C$2=24.5,'S3'!E125,IF($C$2=25.5,'S3'!F125,IF($C$2=26.5,'S3'!G125,IF($C$2=27.5,'S3'!H125,IF($C$2=28.5,'S3'!I125,IF($C$2=29.5,'S3'!J125,IF($C$2=30.5,'S3'!K125,IF($C$2=31.5,'S3'!L125))))))))))))</f>
        <v>272.14</v>
      </c>
      <c r="D125" s="652">
        <f t="shared" si="10"/>
        <v>381</v>
      </c>
      <c r="E125" s="969">
        <f>IF($E$2=20.5,'S3'!Y125,IF($E$2=21.5,'S3'!Z125,IF($E$2=22.5,'S3'!AA125,IF($E$2=23.5,'S3'!AB125,IF($E$2=24.5,'S3'!AC125,IF($E$2=25.5,'S3'!AD125,IF($E$2=26.5,'S3'!AE125,IF($E$2=27.5,'S3'!AF125,IF($E$2=28.5,'S3'!AG125,IF($E$2=29.5,'S3'!AH125,IF($E$2=30.5,'S3'!AI125,IF($E$2=31.5,'S3'!AJ125))))))))))))</f>
        <v>167.04</v>
      </c>
      <c r="F125" s="652">
        <f t="shared" si="9"/>
        <v>233.86</v>
      </c>
      <c r="BI125"/>
      <c r="BJ125"/>
      <c r="BK125"/>
      <c r="BL125"/>
      <c r="BM125"/>
      <c r="BN125"/>
      <c r="BO125"/>
      <c r="BP125"/>
      <c r="BQ125"/>
      <c r="BR125"/>
      <c r="BS125"/>
      <c r="BT125"/>
      <c r="BU125"/>
    </row>
    <row r="126" spans="2:73" ht="21.75">
      <c r="B126" s="646">
        <v>122</v>
      </c>
      <c r="C126" s="652">
        <f>IF($C$2=20.5,'S3'!A126,IF($C$2=21.5,'S3'!B126,IF($C$2=22.5,'S3'!C126,IF($C$2=23.5,'S3'!D126,IF($C$2=24.5,'S3'!E126,IF($C$2=25.5,'S3'!F126,IF($C$2=26.5,'S3'!G126,IF($C$2=27.5,'S3'!H126,IF($C$2=28.5,'S3'!I126,IF($C$2=29.5,'S3'!J126,IF($C$2=30.5,'S3'!K126,IF($C$2=31.5,'S3'!L126))))))))))))</f>
        <v>274.43</v>
      </c>
      <c r="D126" s="652">
        <f t="shared" si="10"/>
        <v>384.2</v>
      </c>
      <c r="E126" s="969">
        <f>IF($E$2=20.5,'S3'!Y126,IF($E$2=21.5,'S3'!Z126,IF($E$2=22.5,'S3'!AA126,IF($E$2=23.5,'S3'!AB126,IF($E$2=24.5,'S3'!AC126,IF($E$2=25.5,'S3'!AD126,IF($E$2=26.5,'S3'!AE126,IF($E$2=27.5,'S3'!AF126,IF($E$2=28.5,'S3'!AG126,IF($E$2=29.5,'S3'!AH126,IF($E$2=30.5,'S3'!AI126,IF($E$2=31.5,'S3'!AJ126))))))))))))</f>
        <v>168.44</v>
      </c>
      <c r="F126" s="652">
        <f t="shared" si="9"/>
        <v>235.82</v>
      </c>
      <c r="BI126"/>
      <c r="BJ126"/>
      <c r="BK126"/>
      <c r="BL126"/>
      <c r="BM126"/>
      <c r="BN126"/>
      <c r="BO126"/>
      <c r="BP126"/>
      <c r="BQ126"/>
      <c r="BR126"/>
      <c r="BS126"/>
      <c r="BT126"/>
      <c r="BU126"/>
    </row>
    <row r="127" spans="2:73" ht="21.75">
      <c r="B127" s="646">
        <v>123</v>
      </c>
      <c r="C127" s="652">
        <f>IF($C$2=20.5,'S3'!A127,IF($C$2=21.5,'S3'!B127,IF($C$2=22.5,'S3'!C127,IF($C$2=23.5,'S3'!D127,IF($C$2=24.5,'S3'!E127,IF($C$2=25.5,'S3'!F127,IF($C$2=26.5,'S3'!G127,IF($C$2=27.5,'S3'!H127,IF($C$2=28.5,'S3'!I127,IF($C$2=29.5,'S3'!J127,IF($C$2=30.5,'S3'!K127,IF($C$2=31.5,'S3'!L127))))))))))))</f>
        <v>276.74</v>
      </c>
      <c r="D127" s="652">
        <f t="shared" si="10"/>
        <v>387.44</v>
      </c>
      <c r="E127" s="969">
        <f>IF($E$2=20.5,'S3'!Y127,IF($E$2=21.5,'S3'!Z127,IF($E$2=22.5,'S3'!AA127,IF($E$2=23.5,'S3'!AB127,IF($E$2=24.5,'S3'!AC127,IF($E$2=25.5,'S3'!AD127,IF($E$2=26.5,'S3'!AE127,IF($E$2=27.5,'S3'!AF127,IF($E$2=28.5,'S3'!AG127,IF($E$2=29.5,'S3'!AH127,IF($E$2=30.5,'S3'!AI127,IF($E$2=31.5,'S3'!AJ127))))))))))))</f>
        <v>169.77</v>
      </c>
      <c r="F127" s="652">
        <f t="shared" si="9"/>
        <v>237.68</v>
      </c>
      <c r="BI127"/>
      <c r="BJ127"/>
      <c r="BK127"/>
      <c r="BL127"/>
      <c r="BM127"/>
      <c r="BN127"/>
      <c r="BO127"/>
      <c r="BP127"/>
      <c r="BQ127"/>
      <c r="BR127"/>
      <c r="BS127"/>
      <c r="BT127"/>
      <c r="BU127"/>
    </row>
    <row r="128" spans="2:73" ht="21.75">
      <c r="B128" s="646">
        <v>124</v>
      </c>
      <c r="C128" s="652">
        <f>IF($C$2=20.5,'S3'!A128,IF($C$2=21.5,'S3'!B128,IF($C$2=22.5,'S3'!C128,IF($C$2=23.5,'S3'!D128,IF($C$2=24.5,'S3'!E128,IF($C$2=25.5,'S3'!F128,IF($C$2=26.5,'S3'!G128,IF($C$2=27.5,'S3'!H128,IF($C$2=28.5,'S3'!I128,IF($C$2=29.5,'S3'!J128,IF($C$2=30.5,'S3'!K128,IF($C$2=31.5,'S3'!L128))))))))))))</f>
        <v>279.05</v>
      </c>
      <c r="D128" s="652">
        <f t="shared" si="10"/>
        <v>390.67</v>
      </c>
      <c r="E128" s="969">
        <f>IF($E$2=20.5,'S3'!Y128,IF($E$2=21.5,'S3'!Z128,IF($E$2=22.5,'S3'!AA128,IF($E$2=23.5,'S3'!AB128,IF($E$2=24.5,'S3'!AC128,IF($E$2=25.5,'S3'!AD128,IF($E$2=26.5,'S3'!AE128,IF($E$2=27.5,'S3'!AF128,IF($E$2=28.5,'S3'!AG128,IF($E$2=29.5,'S3'!AH128,IF($E$2=30.5,'S3'!AI128,IF($E$2=31.5,'S3'!AJ128))))))))))))</f>
        <v>171.17</v>
      </c>
      <c r="F128" s="652">
        <f t="shared" si="9"/>
        <v>239.64</v>
      </c>
      <c r="BI128"/>
      <c r="BJ128"/>
      <c r="BK128"/>
      <c r="BL128"/>
      <c r="BM128"/>
      <c r="BN128"/>
      <c r="BO128"/>
      <c r="BP128"/>
      <c r="BQ128"/>
      <c r="BR128"/>
      <c r="BS128"/>
      <c r="BT128"/>
      <c r="BU128"/>
    </row>
    <row r="129" spans="2:73" ht="21.75">
      <c r="B129" s="646">
        <v>125</v>
      </c>
      <c r="C129" s="652">
        <f>IF($C$2=20.5,'S3'!A129,IF($C$2=21.5,'S3'!B129,IF($C$2=22.5,'S3'!C129,IF($C$2=23.5,'S3'!D129,IF($C$2=24.5,'S3'!E129,IF($C$2=25.5,'S3'!F129,IF($C$2=26.5,'S3'!G129,IF($C$2=27.5,'S3'!H129,IF($C$2=28.5,'S3'!I129,IF($C$2=29.5,'S3'!J129,IF($C$2=30.5,'S3'!K129,IF($C$2=31.5,'S3'!L129))))))))))))</f>
        <v>281.11</v>
      </c>
      <c r="D129" s="652">
        <f t="shared" si="10"/>
        <v>393.55</v>
      </c>
      <c r="E129" s="969">
        <f>IF($E$2=20.5,'S3'!Y129,IF($E$2=21.5,'S3'!Z129,IF($E$2=22.5,'S3'!AA129,IF($E$2=23.5,'S3'!AB129,IF($E$2=24.5,'S3'!AC129,IF($E$2=25.5,'S3'!AD129,IF($E$2=26.5,'S3'!AE129,IF($E$2=27.5,'S3'!AF129,IF($E$2=28.5,'S3'!AG129,IF($E$2=29.5,'S3'!AH129,IF($E$2=30.5,'S3'!AI129,IF($E$2=31.5,'S3'!AJ129))))))))))))</f>
        <v>172.57</v>
      </c>
      <c r="F129" s="652">
        <f t="shared" si="9"/>
        <v>241.6</v>
      </c>
      <c r="BI129"/>
      <c r="BJ129"/>
      <c r="BK129"/>
      <c r="BL129"/>
      <c r="BM129"/>
      <c r="BN129"/>
      <c r="BO129"/>
      <c r="BP129"/>
      <c r="BQ129"/>
      <c r="BR129"/>
      <c r="BS129"/>
      <c r="BT129"/>
      <c r="BU129"/>
    </row>
    <row r="130" spans="2:73" ht="21.75">
      <c r="B130" s="646">
        <v>126</v>
      </c>
      <c r="C130" s="652">
        <f>IF($C$2=20.5,'S3'!A130,IF($C$2=21.5,'S3'!B130,IF($C$2=22.5,'S3'!C130,IF($C$2=23.5,'S3'!D130,IF($C$2=24.5,'S3'!E130,IF($C$2=25.5,'S3'!F130,IF($C$2=26.5,'S3'!G130,IF($C$2=27.5,'S3'!H130,IF($C$2=28.5,'S3'!I130,IF($C$2=29.5,'S3'!J130,IF($C$2=30.5,'S3'!K130,IF($C$2=31.5,'S3'!L130))))))))))))</f>
        <v>283.44</v>
      </c>
      <c r="D130" s="652">
        <f t="shared" si="10"/>
        <v>396.82</v>
      </c>
      <c r="E130" s="969">
        <f>IF($E$2=20.5,'S3'!Y130,IF($E$2=21.5,'S3'!Z130,IF($E$2=22.5,'S3'!AA130,IF($E$2=23.5,'S3'!AB130,IF($E$2=24.5,'S3'!AC130,IF($E$2=25.5,'S3'!AD130,IF($E$2=26.5,'S3'!AE130,IF($E$2=27.5,'S3'!AF130,IF($E$2=28.5,'S3'!AG130,IF($E$2=29.5,'S3'!AH130,IF($E$2=30.5,'S3'!AI130,IF($E$2=31.5,'S3'!AJ130))))))))))))</f>
        <v>173.9</v>
      </c>
      <c r="F130" s="652">
        <f t="shared" si="9"/>
        <v>243.46</v>
      </c>
      <c r="BI130"/>
      <c r="BJ130"/>
      <c r="BK130"/>
      <c r="BL130"/>
      <c r="BM130"/>
      <c r="BN130"/>
      <c r="BO130"/>
      <c r="BP130"/>
      <c r="BQ130"/>
      <c r="BR130"/>
      <c r="BS130"/>
      <c r="BT130"/>
      <c r="BU130"/>
    </row>
    <row r="131" spans="2:73" ht="21.75">
      <c r="B131" s="646">
        <v>127</v>
      </c>
      <c r="C131" s="652">
        <f>IF($C$2=20.5,'S3'!A131,IF($C$2=21.5,'S3'!B131,IF($C$2=22.5,'S3'!C131,IF($C$2=23.5,'S3'!D131,IF($C$2=24.5,'S3'!E131,IF($C$2=25.5,'S3'!F131,IF($C$2=26.5,'S3'!G131,IF($C$2=27.5,'S3'!H131,IF($C$2=28.5,'S3'!I131,IF($C$2=29.5,'S3'!J131,IF($C$2=30.5,'S3'!K131,IF($C$2=31.5,'S3'!L131))))))))))))</f>
        <v>285.77</v>
      </c>
      <c r="D131" s="652">
        <f t="shared" si="10"/>
        <v>400.08</v>
      </c>
      <c r="E131" s="969">
        <f>IF($E$2=20.5,'S3'!Y131,IF($E$2=21.5,'S3'!Z131,IF($E$2=22.5,'S3'!AA131,IF($E$2=23.5,'S3'!AB131,IF($E$2=24.5,'S3'!AC131,IF($E$2=25.5,'S3'!AD131,IF($E$2=26.5,'S3'!AE131,IF($E$2=27.5,'S3'!AF131,IF($E$2=28.5,'S3'!AG131,IF($E$2=29.5,'S3'!AH131,IF($E$2=30.5,'S3'!AI131,IF($E$2=31.5,'S3'!AJ131))))))))))))</f>
        <v>175.31</v>
      </c>
      <c r="F131" s="652">
        <f t="shared" si="9"/>
        <v>245.43</v>
      </c>
      <c r="BI131"/>
      <c r="BJ131"/>
      <c r="BK131"/>
      <c r="BL131"/>
      <c r="BM131"/>
      <c r="BN131"/>
      <c r="BO131"/>
      <c r="BP131"/>
      <c r="BQ131"/>
      <c r="BR131"/>
      <c r="BS131"/>
      <c r="BT131"/>
      <c r="BU131"/>
    </row>
    <row r="132" spans="2:73" ht="21.75">
      <c r="B132" s="646">
        <v>128</v>
      </c>
      <c r="C132" s="652">
        <f>IF($C$2=20.5,'S3'!A132,IF($C$2=21.5,'S3'!B132,IF($C$2=22.5,'S3'!C132,IF($C$2=23.5,'S3'!D132,IF($C$2=24.5,'S3'!E132,IF($C$2=25.5,'S3'!F132,IF($C$2=26.5,'S3'!G132,IF($C$2=27.5,'S3'!H132,IF($C$2=28.5,'S3'!I132,IF($C$2=29.5,'S3'!J132,IF($C$2=30.5,'S3'!K132,IF($C$2=31.5,'S3'!L132))))))))))))</f>
        <v>287.83999999999997</v>
      </c>
      <c r="D132" s="652">
        <f t="shared" si="10"/>
        <v>402.98</v>
      </c>
      <c r="E132" s="969">
        <f>IF($E$2=20.5,'S3'!Y132,IF($E$2=21.5,'S3'!Z132,IF($E$2=22.5,'S3'!AA132,IF($E$2=23.5,'S3'!AB132,IF($E$2=24.5,'S3'!AC132,IF($E$2=25.5,'S3'!AD132,IF($E$2=26.5,'S3'!AE132,IF($E$2=27.5,'S3'!AF132,IF($E$2=28.5,'S3'!AG132,IF($E$2=29.5,'S3'!AH132,IF($E$2=30.5,'S3'!AI132,IF($E$2=31.5,'S3'!AJ132))))))))))))</f>
        <v>176.71</v>
      </c>
      <c r="F132" s="652">
        <f t="shared" si="9"/>
        <v>247.39</v>
      </c>
      <c r="BI132"/>
      <c r="BJ132"/>
      <c r="BK132"/>
      <c r="BL132"/>
      <c r="BM132"/>
      <c r="BN132"/>
      <c r="BO132"/>
      <c r="BP132"/>
      <c r="BQ132"/>
      <c r="BR132"/>
      <c r="BS132"/>
      <c r="BT132"/>
      <c r="BU132"/>
    </row>
    <row r="133" spans="2:73" ht="21.75">
      <c r="B133" s="646">
        <v>129</v>
      </c>
      <c r="C133" s="652">
        <f>IF($C$2=20.5,'S3'!A133,IF($C$2=21.5,'S3'!B133,IF($C$2=22.5,'S3'!C133,IF($C$2=23.5,'S3'!D133,IF($C$2=24.5,'S3'!E133,IF($C$2=25.5,'S3'!F133,IF($C$2=26.5,'S3'!G133,IF($C$2=27.5,'S3'!H133,IF($C$2=28.5,'S3'!I133,IF($C$2=29.5,'S3'!J133,IF($C$2=30.5,'S3'!K133,IF($C$2=31.5,'S3'!L133))))))))))))</f>
        <v>290.2</v>
      </c>
      <c r="D133" s="652">
        <f t="shared" si="10"/>
        <v>406.28</v>
      </c>
      <c r="E133" s="969">
        <f>IF($E$2=20.5,'S3'!Y133,IF($E$2=21.5,'S3'!Z133,IF($E$2=22.5,'S3'!AA133,IF($E$2=23.5,'S3'!AB133,IF($E$2=24.5,'S3'!AC133,IF($E$2=25.5,'S3'!AD133,IF($E$2=26.5,'S3'!AE133,IF($E$2=27.5,'S3'!AF133,IF($E$2=28.5,'S3'!AG133,IF($E$2=29.5,'S3'!AH133,IF($E$2=30.5,'S3'!AI133,IF($E$2=31.5,'S3'!AJ133))))))))))))</f>
        <v>178.05</v>
      </c>
      <c r="F133" s="652">
        <f t="shared" si="9"/>
        <v>249.27</v>
      </c>
      <c r="BI133"/>
      <c r="BJ133"/>
      <c r="BK133"/>
      <c r="BL133"/>
      <c r="BM133"/>
      <c r="BN133"/>
      <c r="BO133"/>
      <c r="BP133"/>
      <c r="BQ133"/>
      <c r="BR133"/>
      <c r="BS133"/>
      <c r="BT133"/>
      <c r="BU133"/>
    </row>
    <row r="134" spans="2:73" ht="21.75">
      <c r="B134" s="646">
        <v>130</v>
      </c>
      <c r="C134" s="652">
        <f>IF($C$2=20.5,'S3'!A134,IF($C$2=21.5,'S3'!B134,IF($C$2=22.5,'S3'!C134,IF($C$2=23.5,'S3'!D134,IF($C$2=24.5,'S3'!E134,IF($C$2=25.5,'S3'!F134,IF($C$2=26.5,'S3'!G134,IF($C$2=27.5,'S3'!H134,IF($C$2=28.5,'S3'!I134,IF($C$2=29.5,'S3'!J134,IF($C$2=30.5,'S3'!K134,IF($C$2=31.5,'S3'!L134))))))))))))</f>
        <v>292.56</v>
      </c>
      <c r="D134" s="652">
        <f t="shared" si="10"/>
        <v>409.58</v>
      </c>
      <c r="E134" s="969">
        <f>IF($E$2=20.5,'S3'!Y134,IF($E$2=21.5,'S3'!Z134,IF($E$2=22.5,'S3'!AA134,IF($E$2=23.5,'S3'!AB134,IF($E$2=24.5,'S3'!AC134,IF($E$2=25.5,'S3'!AD134,IF($E$2=26.5,'S3'!AE134,IF($E$2=27.5,'S3'!AF134,IF($E$2=28.5,'S3'!AG134,IF($E$2=29.5,'S3'!AH134,IF($E$2=30.5,'S3'!AI134,IF($E$2=31.5,'S3'!AJ134))))))))))))</f>
        <v>179.46</v>
      </c>
      <c r="F134" s="652">
        <f t="shared" ref="F134:F197" si="11">ROUND(E134*1.4,2)</f>
        <v>251.24</v>
      </c>
      <c r="BI134"/>
      <c r="BJ134"/>
      <c r="BK134"/>
      <c r="BL134"/>
      <c r="BM134"/>
      <c r="BN134"/>
      <c r="BO134"/>
      <c r="BP134"/>
      <c r="BQ134"/>
      <c r="BR134"/>
      <c r="BS134"/>
      <c r="BT134"/>
      <c r="BU134"/>
    </row>
    <row r="135" spans="2:73" ht="21.75">
      <c r="B135" s="646">
        <v>131</v>
      </c>
      <c r="C135" s="652">
        <f>IF($C$2=20.5,'S3'!A135,IF($C$2=21.5,'S3'!B135,IF($C$2=22.5,'S3'!C135,IF($C$2=23.5,'S3'!D135,IF($C$2=24.5,'S3'!E135,IF($C$2=25.5,'S3'!F135,IF($C$2=26.5,'S3'!G135,IF($C$2=27.5,'S3'!H135,IF($C$2=28.5,'S3'!I135,IF($C$2=29.5,'S3'!J135,IF($C$2=30.5,'S3'!K135,IF($C$2=31.5,'S3'!L135))))))))))))</f>
        <v>294.64999999999998</v>
      </c>
      <c r="D135" s="652">
        <f t="shared" ref="D135:D198" si="12">ROUND(C135*1.4,2)</f>
        <v>412.51</v>
      </c>
      <c r="E135" s="969">
        <f>IF($E$2=20.5,'S3'!Y135,IF($E$2=21.5,'S3'!Z135,IF($E$2=22.5,'S3'!AA135,IF($E$2=23.5,'S3'!AB135,IF($E$2=24.5,'S3'!AC135,IF($E$2=25.5,'S3'!AD135,IF($E$2=26.5,'S3'!AE135,IF($E$2=27.5,'S3'!AF135,IF($E$2=28.5,'S3'!AG135,IF($E$2=29.5,'S3'!AH135,IF($E$2=30.5,'S3'!AI135,IF($E$2=31.5,'S3'!AJ135))))))))))))</f>
        <v>180.8</v>
      </c>
      <c r="F135" s="652">
        <f t="shared" si="11"/>
        <v>253.12</v>
      </c>
      <c r="BI135"/>
      <c r="BJ135"/>
      <c r="BK135"/>
      <c r="BL135"/>
      <c r="BM135"/>
      <c r="BN135"/>
      <c r="BO135"/>
      <c r="BP135"/>
      <c r="BQ135"/>
      <c r="BR135"/>
      <c r="BS135"/>
      <c r="BT135"/>
      <c r="BU135"/>
    </row>
    <row r="136" spans="2:73" ht="21.75">
      <c r="B136" s="646">
        <v>132</v>
      </c>
      <c r="C136" s="652">
        <f>IF($C$2=20.5,'S3'!A136,IF($C$2=21.5,'S3'!B136,IF($C$2=22.5,'S3'!C136,IF($C$2=23.5,'S3'!D136,IF($C$2=24.5,'S3'!E136,IF($C$2=25.5,'S3'!F136,IF($C$2=26.5,'S3'!G136,IF($C$2=27.5,'S3'!H136,IF($C$2=28.5,'S3'!I136,IF($C$2=29.5,'S3'!J136,IF($C$2=30.5,'S3'!K136,IF($C$2=31.5,'S3'!L136))))))))))))</f>
        <v>297.02999999999997</v>
      </c>
      <c r="D136" s="652">
        <f t="shared" si="12"/>
        <v>415.84</v>
      </c>
      <c r="E136" s="969">
        <f>IF($E$2=20.5,'S3'!Y136,IF($E$2=21.5,'S3'!Z136,IF($E$2=22.5,'S3'!AA136,IF($E$2=23.5,'S3'!AB136,IF($E$2=24.5,'S3'!AC136,IF($E$2=25.5,'S3'!AD136,IF($E$2=26.5,'S3'!AE136,IF($E$2=27.5,'S3'!AF136,IF($E$2=28.5,'S3'!AG136,IF($E$2=29.5,'S3'!AH136,IF($E$2=30.5,'S3'!AI136,IF($E$2=31.5,'S3'!AJ136))))))))))))</f>
        <v>182.14</v>
      </c>
      <c r="F136" s="652">
        <f t="shared" si="11"/>
        <v>255</v>
      </c>
      <c r="BI136"/>
      <c r="BJ136"/>
      <c r="BK136"/>
      <c r="BL136"/>
      <c r="BM136"/>
      <c r="BN136"/>
      <c r="BO136"/>
      <c r="BP136"/>
      <c r="BQ136"/>
      <c r="BR136"/>
      <c r="BS136"/>
      <c r="BT136"/>
      <c r="BU136"/>
    </row>
    <row r="137" spans="2:73" ht="21.75">
      <c r="B137" s="646">
        <v>133</v>
      </c>
      <c r="C137" s="652">
        <f>IF($C$2=20.5,'S3'!A137,IF($C$2=21.5,'S3'!B137,IF($C$2=22.5,'S3'!C137,IF($C$2=23.5,'S3'!D137,IF($C$2=24.5,'S3'!E137,IF($C$2=25.5,'S3'!F137,IF($C$2=26.5,'S3'!G137,IF($C$2=27.5,'S3'!H137,IF($C$2=28.5,'S3'!I137,IF($C$2=29.5,'S3'!J137,IF($C$2=30.5,'S3'!K137,IF($C$2=31.5,'S3'!L137))))))))))))</f>
        <v>299.12</v>
      </c>
      <c r="D137" s="652">
        <f t="shared" si="12"/>
        <v>418.77</v>
      </c>
      <c r="E137" s="969">
        <f>IF($E$2=20.5,'S3'!Y137,IF($E$2=21.5,'S3'!Z137,IF($E$2=22.5,'S3'!AA137,IF($E$2=23.5,'S3'!AB137,IF($E$2=24.5,'S3'!AC137,IF($E$2=25.5,'S3'!AD137,IF($E$2=26.5,'S3'!AE137,IF($E$2=27.5,'S3'!AF137,IF($E$2=28.5,'S3'!AG137,IF($E$2=29.5,'S3'!AH137,IF($E$2=30.5,'S3'!AI137,IF($E$2=31.5,'S3'!AJ137))))))))))))</f>
        <v>183.56</v>
      </c>
      <c r="F137" s="652">
        <f t="shared" si="11"/>
        <v>256.98</v>
      </c>
      <c r="BI137"/>
      <c r="BJ137"/>
      <c r="BK137"/>
      <c r="BL137"/>
      <c r="BM137"/>
      <c r="BN137"/>
      <c r="BO137"/>
      <c r="BP137"/>
      <c r="BQ137"/>
      <c r="BR137"/>
      <c r="BS137"/>
      <c r="BT137"/>
      <c r="BU137"/>
    </row>
    <row r="138" spans="2:73" ht="21.75">
      <c r="B138" s="646">
        <v>134</v>
      </c>
      <c r="C138" s="652">
        <f>IF($C$2=20.5,'S3'!A138,IF($C$2=21.5,'S3'!B138,IF($C$2=22.5,'S3'!C138,IF($C$2=23.5,'S3'!D138,IF($C$2=24.5,'S3'!E138,IF($C$2=25.5,'S3'!F138,IF($C$2=26.5,'S3'!G138,IF($C$2=27.5,'S3'!H138,IF($C$2=28.5,'S3'!I138,IF($C$2=29.5,'S3'!J138,IF($C$2=30.5,'S3'!K138,IF($C$2=31.5,'S3'!L138))))))))))))</f>
        <v>301.52</v>
      </c>
      <c r="D138" s="652">
        <f t="shared" si="12"/>
        <v>422.13</v>
      </c>
      <c r="E138" s="969">
        <f>IF($E$2=20.5,'S3'!Y138,IF($E$2=21.5,'S3'!Z138,IF($E$2=22.5,'S3'!AA138,IF($E$2=23.5,'S3'!AB138,IF($E$2=24.5,'S3'!AC138,IF($E$2=25.5,'S3'!AD138,IF($E$2=26.5,'S3'!AE138,IF($E$2=27.5,'S3'!AF138,IF($E$2=28.5,'S3'!AG138,IF($E$2=29.5,'S3'!AH138,IF($E$2=30.5,'S3'!AI138,IF($E$2=31.5,'S3'!AJ138))))))))))))</f>
        <v>184.9</v>
      </c>
      <c r="F138" s="652">
        <f t="shared" si="11"/>
        <v>258.86</v>
      </c>
      <c r="BI138"/>
      <c r="BJ138"/>
      <c r="BK138"/>
      <c r="BL138"/>
      <c r="BM138"/>
      <c r="BN138"/>
      <c r="BO138"/>
      <c r="BP138"/>
      <c r="BQ138"/>
      <c r="BR138"/>
      <c r="BS138"/>
      <c r="BT138"/>
      <c r="BU138"/>
    </row>
    <row r="139" spans="2:73" ht="21.75">
      <c r="B139" s="646">
        <v>135</v>
      </c>
      <c r="C139" s="652">
        <f>IF($C$2=20.5,'S3'!A139,IF($C$2=21.5,'S3'!B139,IF($C$2=22.5,'S3'!C139,IF($C$2=23.5,'S3'!D139,IF($C$2=24.5,'S3'!E139,IF($C$2=25.5,'S3'!F139,IF($C$2=26.5,'S3'!G139,IF($C$2=27.5,'S3'!H139,IF($C$2=28.5,'S3'!I139,IF($C$2=29.5,'S3'!J139,IF($C$2=30.5,'S3'!K139,IF($C$2=31.5,'S3'!L139))))))))))))</f>
        <v>303.62</v>
      </c>
      <c r="D139" s="652">
        <f t="shared" si="12"/>
        <v>425.07</v>
      </c>
      <c r="E139" s="969">
        <f>IF($E$2=20.5,'S3'!Y139,IF($E$2=21.5,'S3'!Z139,IF($E$2=22.5,'S3'!AA139,IF($E$2=23.5,'S3'!AB139,IF($E$2=24.5,'S3'!AC139,IF($E$2=25.5,'S3'!AD139,IF($E$2=26.5,'S3'!AE139,IF($E$2=27.5,'S3'!AF139,IF($E$2=28.5,'S3'!AG139,IF($E$2=29.5,'S3'!AH139,IF($E$2=30.5,'S3'!AI139,IF($E$2=31.5,'S3'!AJ139))))))))))))</f>
        <v>186.33</v>
      </c>
      <c r="F139" s="652">
        <f t="shared" si="11"/>
        <v>260.86</v>
      </c>
      <c r="BI139"/>
      <c r="BJ139"/>
      <c r="BK139"/>
      <c r="BL139"/>
      <c r="BM139"/>
      <c r="BN139"/>
      <c r="BO139"/>
      <c r="BP139"/>
      <c r="BQ139"/>
      <c r="BR139"/>
      <c r="BS139"/>
      <c r="BT139"/>
      <c r="BU139"/>
    </row>
    <row r="140" spans="2:73" ht="21.75">
      <c r="B140" s="646">
        <v>136</v>
      </c>
      <c r="C140" s="652">
        <f>IF($C$2=20.5,'S3'!A140,IF($C$2=21.5,'S3'!B140,IF($C$2=22.5,'S3'!C140,IF($C$2=23.5,'S3'!D140,IF($C$2=24.5,'S3'!E140,IF($C$2=25.5,'S3'!F140,IF($C$2=26.5,'S3'!G140,IF($C$2=27.5,'S3'!H140,IF($C$2=28.5,'S3'!I140,IF($C$2=29.5,'S3'!J140,IF($C$2=30.5,'S3'!K140,IF($C$2=31.5,'S3'!L140))))))))))))</f>
        <v>305.73</v>
      </c>
      <c r="D140" s="652">
        <f t="shared" si="12"/>
        <v>428.02</v>
      </c>
      <c r="E140" s="969">
        <f>IF($E$2=20.5,'S3'!Y140,IF($E$2=21.5,'S3'!Z140,IF($E$2=22.5,'S3'!AA140,IF($E$2=23.5,'S3'!AB140,IF($E$2=24.5,'S3'!AC140,IF($E$2=25.5,'S3'!AD140,IF($E$2=26.5,'S3'!AE140,IF($E$2=27.5,'S3'!AF140,IF($E$2=28.5,'S3'!AG140,IF($E$2=29.5,'S3'!AH140,IF($E$2=30.5,'S3'!AI140,IF($E$2=31.5,'S3'!AJ140))))))))))))</f>
        <v>187.67</v>
      </c>
      <c r="F140" s="652">
        <f t="shared" si="11"/>
        <v>262.74</v>
      </c>
      <c r="BI140"/>
      <c r="BJ140"/>
      <c r="BK140"/>
      <c r="BL140"/>
      <c r="BM140"/>
      <c r="BN140"/>
      <c r="BO140"/>
      <c r="BP140"/>
      <c r="BQ140"/>
      <c r="BR140"/>
      <c r="BS140"/>
      <c r="BT140"/>
      <c r="BU140"/>
    </row>
    <row r="141" spans="2:73" ht="21.75">
      <c r="B141" s="646">
        <v>137</v>
      </c>
      <c r="C141" s="652">
        <f>IF($C$2=20.5,'S3'!A141,IF($C$2=21.5,'S3'!B141,IF($C$2=22.5,'S3'!C141,IF($C$2=23.5,'S3'!D141,IF($C$2=24.5,'S3'!E141,IF($C$2=25.5,'S3'!F141,IF($C$2=26.5,'S3'!G141,IF($C$2=27.5,'S3'!H141,IF($C$2=28.5,'S3'!I141,IF($C$2=29.5,'S3'!J141,IF($C$2=30.5,'S3'!K141,IF($C$2=31.5,'S3'!L141))))))))))))</f>
        <v>308.14999999999998</v>
      </c>
      <c r="D141" s="652">
        <f t="shared" si="12"/>
        <v>431.41</v>
      </c>
      <c r="E141" s="969">
        <f>IF($E$2=20.5,'S3'!Y141,IF($E$2=21.5,'S3'!Z141,IF($E$2=22.5,'S3'!AA141,IF($E$2=23.5,'S3'!AB141,IF($E$2=24.5,'S3'!AC141,IF($E$2=25.5,'S3'!AD141,IF($E$2=26.5,'S3'!AE141,IF($E$2=27.5,'S3'!AF141,IF($E$2=28.5,'S3'!AG141,IF($E$2=29.5,'S3'!AH141,IF($E$2=30.5,'S3'!AI141,IF($E$2=31.5,'S3'!AJ141))))))))))))</f>
        <v>189.1</v>
      </c>
      <c r="F141" s="652">
        <f t="shared" si="11"/>
        <v>264.74</v>
      </c>
      <c r="BI141"/>
      <c r="BJ141"/>
      <c r="BK141"/>
      <c r="BL141"/>
      <c r="BM141"/>
      <c r="BN141"/>
      <c r="BO141"/>
      <c r="BP141"/>
      <c r="BQ141"/>
      <c r="BR141"/>
      <c r="BS141"/>
      <c r="BT141"/>
      <c r="BU141"/>
    </row>
    <row r="142" spans="2:73" ht="21.75">
      <c r="B142" s="646">
        <v>138</v>
      </c>
      <c r="C142" s="652">
        <f>IF($C$2=20.5,'S3'!A142,IF($C$2=21.5,'S3'!B142,IF($C$2=22.5,'S3'!C142,IF($C$2=23.5,'S3'!D142,IF($C$2=24.5,'S3'!E142,IF($C$2=25.5,'S3'!F142,IF($C$2=26.5,'S3'!G142,IF($C$2=27.5,'S3'!H142,IF($C$2=28.5,'S3'!I142,IF($C$2=29.5,'S3'!J142,IF($C$2=30.5,'S3'!K142,IF($C$2=31.5,'S3'!L142))))))))))))</f>
        <v>310.26</v>
      </c>
      <c r="D142" s="652">
        <f t="shared" si="12"/>
        <v>434.36</v>
      </c>
      <c r="E142" s="969">
        <f>IF($E$2=20.5,'S3'!Y142,IF($E$2=21.5,'S3'!Z142,IF($E$2=22.5,'S3'!AA142,IF($E$2=23.5,'S3'!AB142,IF($E$2=24.5,'S3'!AC142,IF($E$2=25.5,'S3'!AD142,IF($E$2=26.5,'S3'!AE142,IF($E$2=27.5,'S3'!AF142,IF($E$2=28.5,'S3'!AG142,IF($E$2=29.5,'S3'!AH142,IF($E$2=30.5,'S3'!AI142,IF($E$2=31.5,'S3'!AJ142))))))))))))</f>
        <v>190.4</v>
      </c>
      <c r="F142" s="652">
        <f t="shared" si="11"/>
        <v>266.56</v>
      </c>
      <c r="BI142"/>
      <c r="BJ142"/>
      <c r="BK142"/>
      <c r="BL142"/>
      <c r="BM142"/>
      <c r="BN142"/>
      <c r="BO142"/>
      <c r="BP142"/>
      <c r="BQ142"/>
      <c r="BR142"/>
      <c r="BS142"/>
      <c r="BT142"/>
      <c r="BU142"/>
    </row>
    <row r="143" spans="2:73" ht="21.75">
      <c r="B143" s="646">
        <v>139</v>
      </c>
      <c r="C143" s="652">
        <f>IF($C$2=20.5,'S3'!A143,IF($C$2=21.5,'S3'!B143,IF($C$2=22.5,'S3'!C143,IF($C$2=23.5,'S3'!D143,IF($C$2=24.5,'S3'!E143,IF($C$2=25.5,'S3'!F143,IF($C$2=26.5,'S3'!G143,IF($C$2=27.5,'S3'!H143,IF($C$2=28.5,'S3'!I143,IF($C$2=29.5,'S3'!J143,IF($C$2=30.5,'S3'!K143,IF($C$2=31.5,'S3'!L143))))))))))))</f>
        <v>312.70999999999998</v>
      </c>
      <c r="D143" s="652">
        <f t="shared" si="12"/>
        <v>437.79</v>
      </c>
      <c r="E143" s="969">
        <f>IF($E$2=20.5,'S3'!Y143,IF($E$2=21.5,'S3'!Z143,IF($E$2=22.5,'S3'!AA143,IF($E$2=23.5,'S3'!AB143,IF($E$2=24.5,'S3'!AC143,IF($E$2=25.5,'S3'!AD143,IF($E$2=26.5,'S3'!AE143,IF($E$2=27.5,'S3'!AF143,IF($E$2=28.5,'S3'!AG143,IF($E$2=29.5,'S3'!AH143,IF($E$2=30.5,'S3'!AI143,IF($E$2=31.5,'S3'!AJ143))))))))))))</f>
        <v>191.79</v>
      </c>
      <c r="F143" s="652">
        <f t="shared" si="11"/>
        <v>268.51</v>
      </c>
      <c r="BI143"/>
      <c r="BJ143"/>
      <c r="BK143"/>
      <c r="BL143"/>
      <c r="BM143"/>
      <c r="BN143"/>
      <c r="BO143"/>
      <c r="BP143"/>
      <c r="BQ143"/>
      <c r="BR143"/>
      <c r="BS143"/>
      <c r="BT143"/>
      <c r="BU143"/>
    </row>
    <row r="144" spans="2:73" ht="21.75">
      <c r="B144" s="646">
        <v>140</v>
      </c>
      <c r="C144" s="652">
        <f>IF($C$2=20.5,'S3'!A144,IF($C$2=21.5,'S3'!B144,IF($C$2=22.5,'S3'!C144,IF($C$2=23.5,'S3'!D144,IF($C$2=24.5,'S3'!E144,IF($C$2=25.5,'S3'!F144,IF($C$2=26.5,'S3'!G144,IF($C$2=27.5,'S3'!H144,IF($C$2=28.5,'S3'!I144,IF($C$2=29.5,'S3'!J144,IF($C$2=30.5,'S3'!K144,IF($C$2=31.5,'S3'!L144))))))))))))</f>
        <v>314.83</v>
      </c>
      <c r="D144" s="652">
        <f t="shared" si="12"/>
        <v>440.76</v>
      </c>
      <c r="E144" s="969">
        <f>IF($E$2=20.5,'S3'!Y144,IF($E$2=21.5,'S3'!Z144,IF($E$2=22.5,'S3'!AA144,IF($E$2=23.5,'S3'!AB144,IF($E$2=24.5,'S3'!AC144,IF($E$2=25.5,'S3'!AD144,IF($E$2=26.5,'S3'!AE144,IF($E$2=27.5,'S3'!AF144,IF($E$2=28.5,'S3'!AG144,IF($E$2=29.5,'S3'!AH144,IF($E$2=30.5,'S3'!AI144,IF($E$2=31.5,'S3'!AJ144))))))))))))</f>
        <v>193.14</v>
      </c>
      <c r="F144" s="652">
        <f t="shared" si="11"/>
        <v>270.39999999999998</v>
      </c>
      <c r="BI144"/>
      <c r="BJ144"/>
      <c r="BK144"/>
      <c r="BL144"/>
      <c r="BM144"/>
      <c r="BN144"/>
      <c r="BO144"/>
      <c r="BP144"/>
      <c r="BQ144"/>
      <c r="BR144"/>
      <c r="BS144"/>
      <c r="BT144"/>
      <c r="BU144"/>
    </row>
    <row r="145" spans="2:73" ht="21.75">
      <c r="B145" s="646">
        <v>141</v>
      </c>
      <c r="C145" s="652">
        <f>IF($C$2=20.5,'S3'!A145,IF($C$2=21.5,'S3'!B145,IF($C$2=22.5,'S3'!C145,IF($C$2=23.5,'S3'!D145,IF($C$2=24.5,'S3'!E145,IF($C$2=25.5,'S3'!F145,IF($C$2=26.5,'S3'!G145,IF($C$2=27.5,'S3'!H145,IF($C$2=28.5,'S3'!I145,IF($C$2=29.5,'S3'!J145,IF($C$2=30.5,'S3'!K145,IF($C$2=31.5,'S3'!L145))))))))))))</f>
        <v>316.95999999999998</v>
      </c>
      <c r="D145" s="652">
        <f t="shared" si="12"/>
        <v>443.74</v>
      </c>
      <c r="E145" s="969">
        <f>IF($E$2=20.5,'S3'!Y145,IF($E$2=21.5,'S3'!Z145,IF($E$2=22.5,'S3'!AA145,IF($E$2=23.5,'S3'!AB145,IF($E$2=24.5,'S3'!AC145,IF($E$2=25.5,'S3'!AD145,IF($E$2=26.5,'S3'!AE145,IF($E$2=27.5,'S3'!AF145,IF($E$2=28.5,'S3'!AG145,IF($E$2=29.5,'S3'!AH145,IF($E$2=30.5,'S3'!AI145,IF($E$2=31.5,'S3'!AJ145))))))))))))</f>
        <v>194.18</v>
      </c>
      <c r="F145" s="652">
        <f t="shared" si="11"/>
        <v>271.85000000000002</v>
      </c>
      <c r="BI145"/>
      <c r="BJ145"/>
      <c r="BK145"/>
      <c r="BL145"/>
      <c r="BM145"/>
      <c r="BN145"/>
      <c r="BO145"/>
      <c r="BP145"/>
      <c r="BQ145"/>
      <c r="BR145"/>
      <c r="BS145"/>
      <c r="BT145"/>
      <c r="BU145"/>
    </row>
    <row r="146" spans="2:73" ht="21.75">
      <c r="B146" s="646">
        <v>142</v>
      </c>
      <c r="C146" s="652">
        <f>IF($C$2=20.5,'S3'!A146,IF($C$2=21.5,'S3'!B146,IF($C$2=22.5,'S3'!C146,IF($C$2=23.5,'S3'!D146,IF($C$2=24.5,'S3'!E146,IF($C$2=25.5,'S3'!F146,IF($C$2=26.5,'S3'!G146,IF($C$2=27.5,'S3'!H146,IF($C$2=28.5,'S3'!I146,IF($C$2=29.5,'S3'!J146,IF($C$2=30.5,'S3'!K146,IF($C$2=31.5,'S3'!L146))))))))))))</f>
        <v>319.43</v>
      </c>
      <c r="D146" s="652">
        <f t="shared" si="12"/>
        <v>447.2</v>
      </c>
      <c r="E146" s="969">
        <f>IF($E$2=20.5,'S3'!Y146,IF($E$2=21.5,'S3'!Z146,IF($E$2=22.5,'S3'!AA146,IF($E$2=23.5,'S3'!AB146,IF($E$2=24.5,'S3'!AC146,IF($E$2=25.5,'S3'!AD146,IF($E$2=26.5,'S3'!AE146,IF($E$2=27.5,'S3'!AF146,IF($E$2=28.5,'S3'!AG146,IF($E$2=29.5,'S3'!AH146,IF($E$2=30.5,'S3'!AI146,IF($E$2=31.5,'S3'!AJ146))))))))))))</f>
        <v>195.93</v>
      </c>
      <c r="F146" s="652">
        <f t="shared" si="11"/>
        <v>274.3</v>
      </c>
      <c r="BI146"/>
      <c r="BJ146"/>
      <c r="BK146"/>
      <c r="BL146"/>
      <c r="BM146"/>
      <c r="BN146"/>
      <c r="BO146"/>
      <c r="BP146"/>
      <c r="BQ146"/>
      <c r="BR146"/>
      <c r="BS146"/>
      <c r="BT146"/>
      <c r="BU146"/>
    </row>
    <row r="147" spans="2:73" ht="21.75">
      <c r="B147" s="646">
        <v>143</v>
      </c>
      <c r="C147" s="652">
        <f>IF($C$2=20.5,'S3'!A147,IF($C$2=21.5,'S3'!B147,IF($C$2=22.5,'S3'!C147,IF($C$2=23.5,'S3'!D147,IF($C$2=24.5,'S3'!E147,IF($C$2=25.5,'S3'!F147,IF($C$2=26.5,'S3'!G147,IF($C$2=27.5,'S3'!H147,IF($C$2=28.5,'S3'!I147,IF($C$2=29.5,'S3'!J147,IF($C$2=30.5,'S3'!K147,IF($C$2=31.5,'S3'!L147))))))))))))</f>
        <v>321.57</v>
      </c>
      <c r="D147" s="652">
        <f t="shared" si="12"/>
        <v>450.2</v>
      </c>
      <c r="E147" s="969">
        <f>IF($E$2=20.5,'S3'!Y147,IF($E$2=21.5,'S3'!Z147,IF($E$2=22.5,'S3'!AA147,IF($E$2=23.5,'S3'!AB147,IF($E$2=24.5,'S3'!AC147,IF($E$2=25.5,'S3'!AD147,IF($E$2=26.5,'S3'!AE147,IF($E$2=27.5,'S3'!AF147,IF($E$2=28.5,'S3'!AG147,IF($E$2=29.5,'S3'!AH147,IF($E$2=30.5,'S3'!AI147,IF($E$2=31.5,'S3'!AJ147))))))))))))</f>
        <v>197.28</v>
      </c>
      <c r="F147" s="652">
        <f t="shared" si="11"/>
        <v>276.19</v>
      </c>
      <c r="BI147"/>
      <c r="BJ147"/>
      <c r="BK147"/>
      <c r="BL147"/>
      <c r="BM147"/>
      <c r="BN147"/>
      <c r="BO147"/>
      <c r="BP147"/>
      <c r="BQ147"/>
      <c r="BR147"/>
      <c r="BS147"/>
      <c r="BT147"/>
      <c r="BU147"/>
    </row>
    <row r="148" spans="2:73" ht="21.75">
      <c r="B148" s="646">
        <v>144</v>
      </c>
      <c r="C148" s="652">
        <f>IF($C$2=20.5,'S3'!A148,IF($C$2=21.5,'S3'!B148,IF($C$2=22.5,'S3'!C148,IF($C$2=23.5,'S3'!D148,IF($C$2=24.5,'S3'!E148,IF($C$2=25.5,'S3'!F148,IF($C$2=26.5,'S3'!G148,IF($C$2=27.5,'S3'!H148,IF($C$2=28.5,'S3'!I148,IF($C$2=29.5,'S3'!J148,IF($C$2=30.5,'S3'!K148,IF($C$2=31.5,'S3'!L148))))))))))))</f>
        <v>323.70999999999998</v>
      </c>
      <c r="D148" s="652">
        <f t="shared" si="12"/>
        <v>453.19</v>
      </c>
      <c r="E148" s="969">
        <f>IF($E$2=20.5,'S3'!Y148,IF($E$2=21.5,'S3'!Z148,IF($E$2=22.5,'S3'!AA148,IF($E$2=23.5,'S3'!AB148,IF($E$2=24.5,'S3'!AC148,IF($E$2=25.5,'S3'!AD148,IF($E$2=26.5,'S3'!AE148,IF($E$2=27.5,'S3'!AF148,IF($E$2=28.5,'S3'!AG148,IF($E$2=29.5,'S3'!AH148,IF($E$2=30.5,'S3'!AI148,IF($E$2=31.5,'S3'!AJ148))))))))))))</f>
        <v>198.73</v>
      </c>
      <c r="F148" s="652">
        <f t="shared" si="11"/>
        <v>278.22000000000003</v>
      </c>
      <c r="BI148"/>
      <c r="BJ148"/>
      <c r="BK148"/>
      <c r="BL148"/>
      <c r="BM148"/>
      <c r="BN148"/>
      <c r="BO148"/>
      <c r="BP148"/>
      <c r="BQ148"/>
      <c r="BR148"/>
      <c r="BS148"/>
      <c r="BT148"/>
      <c r="BU148"/>
    </row>
    <row r="149" spans="2:73" ht="21.75">
      <c r="B149" s="646">
        <v>145</v>
      </c>
      <c r="C149" s="652">
        <f>IF($C$2=20.5,'S3'!A149,IF($C$2=21.5,'S3'!B149,IF($C$2=22.5,'S3'!C149,IF($C$2=23.5,'S3'!D149,IF($C$2=24.5,'S3'!E149,IF($C$2=25.5,'S3'!F149,IF($C$2=26.5,'S3'!G149,IF($C$2=27.5,'S3'!H149,IF($C$2=28.5,'S3'!I149,IF($C$2=29.5,'S3'!J149,IF($C$2=30.5,'S3'!K149,IF($C$2=31.5,'S3'!L149))))))))))))</f>
        <v>326.20999999999998</v>
      </c>
      <c r="D149" s="652">
        <f t="shared" si="12"/>
        <v>456.69</v>
      </c>
      <c r="E149" s="969">
        <f>IF($E$2=20.5,'S3'!Y149,IF($E$2=21.5,'S3'!Z149,IF($E$2=22.5,'S3'!AA149,IF($E$2=23.5,'S3'!AB149,IF($E$2=24.5,'S3'!AC149,IF($E$2=25.5,'S3'!AD149,IF($E$2=26.5,'S3'!AE149,IF($E$2=27.5,'S3'!AF149,IF($E$2=28.5,'S3'!AG149,IF($E$2=29.5,'S3'!AH149,IF($E$2=30.5,'S3'!AI149,IF($E$2=31.5,'S3'!AJ149))))))))))))</f>
        <v>200.09</v>
      </c>
      <c r="F149" s="652">
        <f t="shared" si="11"/>
        <v>280.13</v>
      </c>
      <c r="BI149"/>
      <c r="BJ149"/>
      <c r="BK149"/>
      <c r="BL149"/>
      <c r="BM149"/>
      <c r="BN149"/>
      <c r="BO149"/>
      <c r="BP149"/>
      <c r="BQ149"/>
      <c r="BR149"/>
      <c r="BS149"/>
      <c r="BT149"/>
      <c r="BU149"/>
    </row>
    <row r="150" spans="2:73" ht="21.75">
      <c r="B150" s="646">
        <v>146</v>
      </c>
      <c r="C150" s="652">
        <f>IF($C$2=20.5,'S3'!A150,IF($C$2=21.5,'S3'!B150,IF($C$2=22.5,'S3'!C150,IF($C$2=23.5,'S3'!D150,IF($C$2=24.5,'S3'!E150,IF($C$2=25.5,'S3'!F150,IF($C$2=26.5,'S3'!G150,IF($C$2=27.5,'S3'!H150,IF($C$2=28.5,'S3'!I150,IF($C$2=29.5,'S3'!J150,IF($C$2=30.5,'S3'!K150,IF($C$2=31.5,'S3'!L150))))))))))))</f>
        <v>328.36</v>
      </c>
      <c r="D150" s="652">
        <f t="shared" si="12"/>
        <v>459.7</v>
      </c>
      <c r="E150" s="969">
        <f>IF($E$2=20.5,'S3'!Y150,IF($E$2=21.5,'S3'!Z150,IF($E$2=22.5,'S3'!AA150,IF($E$2=23.5,'S3'!AB150,IF($E$2=24.5,'S3'!AC150,IF($E$2=25.5,'S3'!AD150,IF($E$2=26.5,'S3'!AE150,IF($E$2=27.5,'S3'!AF150,IF($E$2=28.5,'S3'!AG150,IF($E$2=29.5,'S3'!AH150,IF($E$2=30.5,'S3'!AI150,IF($E$2=31.5,'S3'!AJ150))))))))))))</f>
        <v>201.44</v>
      </c>
      <c r="F150" s="652">
        <f t="shared" si="11"/>
        <v>282.02</v>
      </c>
      <c r="BI150"/>
      <c r="BJ150"/>
      <c r="BK150"/>
      <c r="BL150"/>
      <c r="BM150"/>
      <c r="BN150"/>
      <c r="BO150"/>
      <c r="BP150"/>
      <c r="BQ150"/>
      <c r="BR150"/>
      <c r="BS150"/>
      <c r="BT150"/>
      <c r="BU150"/>
    </row>
    <row r="151" spans="2:73" ht="21.75">
      <c r="B151" s="646">
        <v>147</v>
      </c>
      <c r="C151" s="652">
        <f>IF($C$2=20.5,'S3'!A151,IF($C$2=21.5,'S3'!B151,IF($C$2=22.5,'S3'!C151,IF($C$2=23.5,'S3'!D151,IF($C$2=24.5,'S3'!E151,IF($C$2=25.5,'S3'!F151,IF($C$2=26.5,'S3'!G151,IF($C$2=27.5,'S3'!H151,IF($C$2=28.5,'S3'!I151,IF($C$2=29.5,'S3'!J151,IF($C$2=30.5,'S3'!K151,IF($C$2=31.5,'S3'!L151))))))))))))</f>
        <v>330.52</v>
      </c>
      <c r="D151" s="652">
        <f t="shared" si="12"/>
        <v>462.73</v>
      </c>
      <c r="E151" s="969">
        <f>IF($E$2=20.5,'S3'!Y151,IF($E$2=21.5,'S3'!Z151,IF($E$2=22.5,'S3'!AA151,IF($E$2=23.5,'S3'!AB151,IF($E$2=24.5,'S3'!AC151,IF($E$2=25.5,'S3'!AD151,IF($E$2=26.5,'S3'!AE151,IF($E$2=27.5,'S3'!AF151,IF($E$2=28.5,'S3'!AG151,IF($E$2=29.5,'S3'!AH151,IF($E$2=30.5,'S3'!AI151,IF($E$2=31.5,'S3'!AJ151))))))))))))</f>
        <v>202.8</v>
      </c>
      <c r="F151" s="652">
        <f t="shared" si="11"/>
        <v>283.92</v>
      </c>
      <c r="BI151"/>
      <c r="BJ151"/>
      <c r="BK151"/>
      <c r="BL151"/>
      <c r="BM151"/>
      <c r="BN151"/>
      <c r="BO151"/>
      <c r="BP151"/>
      <c r="BQ151"/>
      <c r="BR151"/>
      <c r="BS151"/>
      <c r="BT151"/>
      <c r="BU151"/>
    </row>
    <row r="152" spans="2:73" ht="21.75">
      <c r="B152" s="646">
        <v>148</v>
      </c>
      <c r="C152" s="652">
        <f>IF($C$2=20.5,'S3'!A152,IF($C$2=21.5,'S3'!B152,IF($C$2=22.5,'S3'!C152,IF($C$2=23.5,'S3'!D152,IF($C$2=24.5,'S3'!E152,IF($C$2=25.5,'S3'!F152,IF($C$2=26.5,'S3'!G152,IF($C$2=27.5,'S3'!H152,IF($C$2=28.5,'S3'!I152,IF($C$2=29.5,'S3'!J152,IF($C$2=30.5,'S3'!K152,IF($C$2=31.5,'S3'!L152))))))))))))</f>
        <v>332.68</v>
      </c>
      <c r="D152" s="652">
        <f t="shared" si="12"/>
        <v>465.75</v>
      </c>
      <c r="E152" s="969">
        <f>IF($E$2=20.5,'S3'!Y152,IF($E$2=21.5,'S3'!Z152,IF($E$2=22.5,'S3'!AA152,IF($E$2=23.5,'S3'!AB152,IF($E$2=24.5,'S3'!AC152,IF($E$2=25.5,'S3'!AD152,IF($E$2=26.5,'S3'!AE152,IF($E$2=27.5,'S3'!AF152,IF($E$2=28.5,'S3'!AG152,IF($E$2=29.5,'S3'!AH152,IF($E$2=30.5,'S3'!AI152,IF($E$2=31.5,'S3'!AJ152))))))))))))</f>
        <v>204.16</v>
      </c>
      <c r="F152" s="652">
        <f t="shared" si="11"/>
        <v>285.82</v>
      </c>
      <c r="BI152"/>
      <c r="BJ152"/>
      <c r="BK152"/>
      <c r="BL152"/>
      <c r="BM152"/>
      <c r="BN152"/>
      <c r="BO152"/>
      <c r="BP152"/>
      <c r="BQ152"/>
      <c r="BR152"/>
      <c r="BS152"/>
      <c r="BT152"/>
      <c r="BU152"/>
    </row>
    <row r="153" spans="2:73" ht="21.75">
      <c r="B153" s="646">
        <v>149</v>
      </c>
      <c r="C153" s="652">
        <f>IF($C$2=20.5,'S3'!A153,IF($C$2=21.5,'S3'!B153,IF($C$2=22.5,'S3'!C153,IF($C$2=23.5,'S3'!D153,IF($C$2=24.5,'S3'!E153,IF($C$2=25.5,'S3'!F153,IF($C$2=26.5,'S3'!G153,IF($C$2=27.5,'S3'!H153,IF($C$2=28.5,'S3'!I153,IF($C$2=29.5,'S3'!J153,IF($C$2=30.5,'S3'!K153,IF($C$2=31.5,'S3'!L153))))))))))))</f>
        <v>334.85</v>
      </c>
      <c r="D153" s="652">
        <f t="shared" si="12"/>
        <v>468.79</v>
      </c>
      <c r="E153" s="969">
        <f>IF($E$2=20.5,'S3'!Y153,IF($E$2=21.5,'S3'!Z153,IF($E$2=22.5,'S3'!AA153,IF($E$2=23.5,'S3'!AB153,IF($E$2=24.5,'S3'!AC153,IF($E$2=25.5,'S3'!AD153,IF($E$2=26.5,'S3'!AE153,IF($E$2=27.5,'S3'!AF153,IF($E$2=28.5,'S3'!AG153,IF($E$2=29.5,'S3'!AH153,IF($E$2=30.5,'S3'!AI153,IF($E$2=31.5,'S3'!AJ153))))))))))))</f>
        <v>205.62</v>
      </c>
      <c r="F153" s="652">
        <f t="shared" si="11"/>
        <v>287.87</v>
      </c>
      <c r="BI153"/>
      <c r="BJ153"/>
      <c r="BK153"/>
      <c r="BL153"/>
      <c r="BM153"/>
      <c r="BN153"/>
      <c r="BO153"/>
      <c r="BP153"/>
      <c r="BQ153"/>
      <c r="BR153"/>
      <c r="BS153"/>
      <c r="BT153"/>
      <c r="BU153"/>
    </row>
    <row r="154" spans="2:73" ht="21.75">
      <c r="B154" s="646">
        <v>150</v>
      </c>
      <c r="C154" s="652">
        <f>IF($C$2=20.5,'S3'!A154,IF($C$2=21.5,'S3'!B154,IF($C$2=22.5,'S3'!C154,IF($C$2=23.5,'S3'!D154,IF($C$2=24.5,'S3'!E154,IF($C$2=25.5,'S3'!F154,IF($C$2=26.5,'S3'!G154,IF($C$2=27.5,'S3'!H154,IF($C$2=28.5,'S3'!I154,IF($C$2=29.5,'S3'!J154,IF($C$2=30.5,'S3'!K154,IF($C$2=31.5,'S3'!L154))))))))))))</f>
        <v>337.39</v>
      </c>
      <c r="D154" s="652">
        <f t="shared" si="12"/>
        <v>472.35</v>
      </c>
      <c r="E154" s="969">
        <f>IF($E$2=20.5,'S3'!Y154,IF($E$2=21.5,'S3'!Z154,IF($E$2=22.5,'S3'!AA154,IF($E$2=23.5,'S3'!AB154,IF($E$2=24.5,'S3'!AC154,IF($E$2=25.5,'S3'!AD154,IF($E$2=26.5,'S3'!AE154,IF($E$2=27.5,'S3'!AF154,IF($E$2=28.5,'S3'!AG154,IF($E$2=29.5,'S3'!AH154,IF($E$2=30.5,'S3'!AI154,IF($E$2=31.5,'S3'!AJ154))))))))))))</f>
        <v>206.98</v>
      </c>
      <c r="F154" s="652">
        <f t="shared" si="11"/>
        <v>289.77</v>
      </c>
      <c r="BI154"/>
      <c r="BJ154"/>
      <c r="BK154"/>
      <c r="BL154"/>
      <c r="BM154"/>
      <c r="BN154"/>
      <c r="BO154"/>
      <c r="BP154"/>
      <c r="BQ154"/>
      <c r="BR154"/>
      <c r="BS154"/>
      <c r="BT154"/>
      <c r="BU154"/>
    </row>
    <row r="155" spans="2:73" ht="21.75">
      <c r="B155" s="646">
        <v>151</v>
      </c>
      <c r="C155" s="652">
        <f>IF($C$2=20.5,'S3'!A155,IF($C$2=21.5,'S3'!B155,IF($C$2=22.5,'S3'!C155,IF($C$2=23.5,'S3'!D155,IF($C$2=24.5,'S3'!E155,IF($C$2=25.5,'S3'!F155,IF($C$2=26.5,'S3'!G155,IF($C$2=27.5,'S3'!H155,IF($C$2=28.5,'S3'!I155,IF($C$2=29.5,'S3'!J155,IF($C$2=30.5,'S3'!K155,IF($C$2=31.5,'S3'!L155))))))))))))</f>
        <v>339.57</v>
      </c>
      <c r="D155" s="652">
        <f t="shared" si="12"/>
        <v>475.4</v>
      </c>
      <c r="E155" s="969">
        <f>IF($E$2=20.5,'S3'!Y155,IF($E$2=21.5,'S3'!Z155,IF($E$2=22.5,'S3'!AA155,IF($E$2=23.5,'S3'!AB155,IF($E$2=24.5,'S3'!AC155,IF($E$2=25.5,'S3'!AD155,IF($E$2=26.5,'S3'!AE155,IF($E$2=27.5,'S3'!AF155,IF($E$2=28.5,'S3'!AG155,IF($E$2=29.5,'S3'!AH155,IF($E$2=30.5,'S3'!AI155,IF($E$2=31.5,'S3'!AJ155))))))))))))</f>
        <v>208.34</v>
      </c>
      <c r="F155" s="652">
        <f t="shared" si="11"/>
        <v>291.68</v>
      </c>
      <c r="BI155"/>
      <c r="BJ155"/>
      <c r="BK155"/>
      <c r="BL155"/>
      <c r="BM155"/>
      <c r="BN155"/>
      <c r="BO155"/>
      <c r="BP155"/>
      <c r="BQ155"/>
      <c r="BR155"/>
      <c r="BS155"/>
      <c r="BT155"/>
      <c r="BU155"/>
    </row>
    <row r="156" spans="2:73" ht="21.75">
      <c r="B156" s="646">
        <v>152</v>
      </c>
      <c r="C156" s="652">
        <f>IF($C$2=20.5,'S3'!A156,IF($C$2=21.5,'S3'!B156,IF($C$2=22.5,'S3'!C156,IF($C$2=23.5,'S3'!D156,IF($C$2=24.5,'S3'!E156,IF($C$2=25.5,'S3'!F156,IF($C$2=26.5,'S3'!G156,IF($C$2=27.5,'S3'!H156,IF($C$2=28.5,'S3'!I156,IF($C$2=29.5,'S3'!J156,IF($C$2=30.5,'S3'!K156,IF($C$2=31.5,'S3'!L156))))))))))))</f>
        <v>341.75</v>
      </c>
      <c r="D156" s="652">
        <f t="shared" si="12"/>
        <v>478.45</v>
      </c>
      <c r="E156" s="969">
        <f>IF($E$2=20.5,'S3'!Y156,IF($E$2=21.5,'S3'!Z156,IF($E$2=22.5,'S3'!AA156,IF($E$2=23.5,'S3'!AB156,IF($E$2=24.5,'S3'!AC156,IF($E$2=25.5,'S3'!AD156,IF($E$2=26.5,'S3'!AE156,IF($E$2=27.5,'S3'!AF156,IF($E$2=28.5,'S3'!AG156,IF($E$2=29.5,'S3'!AH156,IF($E$2=30.5,'S3'!AI156,IF($E$2=31.5,'S3'!AJ156))))))))))))</f>
        <v>209.71</v>
      </c>
      <c r="F156" s="652">
        <f t="shared" si="11"/>
        <v>293.58999999999997</v>
      </c>
      <c r="BI156"/>
      <c r="BJ156"/>
      <c r="BK156"/>
      <c r="BL156"/>
      <c r="BM156"/>
      <c r="BN156"/>
      <c r="BO156"/>
      <c r="BP156"/>
      <c r="BQ156"/>
      <c r="BR156"/>
      <c r="BS156"/>
      <c r="BT156"/>
      <c r="BU156"/>
    </row>
    <row r="157" spans="2:73" ht="21.75">
      <c r="B157" s="646">
        <v>153</v>
      </c>
      <c r="C157" s="652">
        <f>IF($C$2=20.5,'S3'!A157,IF($C$2=21.5,'S3'!B157,IF($C$2=22.5,'S3'!C157,IF($C$2=23.5,'S3'!D157,IF($C$2=24.5,'S3'!E157,IF($C$2=25.5,'S3'!F157,IF($C$2=26.5,'S3'!G157,IF($C$2=27.5,'S3'!H157,IF($C$2=28.5,'S3'!I157,IF($C$2=29.5,'S3'!J157,IF($C$2=30.5,'S3'!K157,IF($C$2=31.5,'S3'!L157))))))))))))</f>
        <v>343.94</v>
      </c>
      <c r="D157" s="652">
        <f t="shared" si="12"/>
        <v>481.52</v>
      </c>
      <c r="E157" s="969">
        <f>IF($E$2=20.5,'S3'!Y157,IF($E$2=21.5,'S3'!Z157,IF($E$2=22.5,'S3'!AA157,IF($E$2=23.5,'S3'!AB157,IF($E$2=24.5,'S3'!AC157,IF($E$2=25.5,'S3'!AD157,IF($E$2=26.5,'S3'!AE157,IF($E$2=27.5,'S3'!AF157,IF($E$2=28.5,'S3'!AG157,IF($E$2=29.5,'S3'!AH157,IF($E$2=30.5,'S3'!AI157,IF($E$2=31.5,'S3'!AJ157))))))))))))</f>
        <v>211.07</v>
      </c>
      <c r="F157" s="652">
        <f t="shared" si="11"/>
        <v>295.5</v>
      </c>
      <c r="BI157"/>
      <c r="BJ157"/>
      <c r="BK157"/>
      <c r="BL157"/>
      <c r="BM157"/>
      <c r="BN157"/>
      <c r="BO157"/>
      <c r="BP157"/>
      <c r="BQ157"/>
      <c r="BR157"/>
      <c r="BS157"/>
      <c r="BT157"/>
      <c r="BU157"/>
    </row>
    <row r="158" spans="2:73" ht="21.75">
      <c r="B158" s="646">
        <v>154</v>
      </c>
      <c r="C158" s="652">
        <f>IF($C$2=20.5,'S3'!A158,IF($C$2=21.5,'S3'!B158,IF($C$2=22.5,'S3'!C158,IF($C$2=23.5,'S3'!D158,IF($C$2=24.5,'S3'!E158,IF($C$2=25.5,'S3'!F158,IF($C$2=26.5,'S3'!G158,IF($C$2=27.5,'S3'!H158,IF($C$2=28.5,'S3'!I158,IF($C$2=29.5,'S3'!J158,IF($C$2=30.5,'S3'!K158,IF($C$2=31.5,'S3'!L158))))))))))))</f>
        <v>346.13</v>
      </c>
      <c r="D158" s="652">
        <f t="shared" si="12"/>
        <v>484.58</v>
      </c>
      <c r="E158" s="969">
        <f>IF($E$2=20.5,'S3'!Y158,IF($E$2=21.5,'S3'!Z158,IF($E$2=22.5,'S3'!AA158,IF($E$2=23.5,'S3'!AB158,IF($E$2=24.5,'S3'!AC158,IF($E$2=25.5,'S3'!AD158,IF($E$2=26.5,'S3'!AE158,IF($E$2=27.5,'S3'!AF158,IF($E$2=28.5,'S3'!AG158,IF($E$2=29.5,'S3'!AH158,IF($E$2=30.5,'S3'!AI158,IF($E$2=31.5,'S3'!AJ158))))))))))))</f>
        <v>212.44</v>
      </c>
      <c r="F158" s="652">
        <f t="shared" si="11"/>
        <v>297.42</v>
      </c>
      <c r="BI158"/>
      <c r="BJ158"/>
      <c r="BK158"/>
      <c r="BL158"/>
      <c r="BM158"/>
      <c r="BN158"/>
      <c r="BO158"/>
      <c r="BP158"/>
      <c r="BQ158"/>
      <c r="BR158"/>
      <c r="BS158"/>
      <c r="BT158"/>
      <c r="BU158"/>
    </row>
    <row r="159" spans="2:73" ht="21.75">
      <c r="B159" s="646">
        <v>155</v>
      </c>
      <c r="C159" s="652">
        <f>IF($C$2=20.5,'S3'!A159,IF($C$2=21.5,'S3'!B159,IF($C$2=22.5,'S3'!C159,IF($C$2=23.5,'S3'!D159,IF($C$2=24.5,'S3'!E159,IF($C$2=25.5,'S3'!F159,IF($C$2=26.5,'S3'!G159,IF($C$2=27.5,'S3'!H159,IF($C$2=28.5,'S3'!I159,IF($C$2=29.5,'S3'!J159,IF($C$2=30.5,'S3'!K159,IF($C$2=31.5,'S3'!L159))))))))))))</f>
        <v>348.33</v>
      </c>
      <c r="D159" s="652">
        <f t="shared" si="12"/>
        <v>487.66</v>
      </c>
      <c r="E159" s="969">
        <f>IF($E$2=20.5,'S3'!Y159,IF($E$2=21.5,'S3'!Z159,IF($E$2=22.5,'S3'!AA159,IF($E$2=23.5,'S3'!AB159,IF($E$2=24.5,'S3'!AC159,IF($E$2=25.5,'S3'!AD159,IF($E$2=26.5,'S3'!AE159,IF($E$2=27.5,'S3'!AF159,IF($E$2=28.5,'S3'!AG159,IF($E$2=29.5,'S3'!AH159,IF($E$2=30.5,'S3'!AI159,IF($E$2=31.5,'S3'!AJ159))))))))))))</f>
        <v>213.81</v>
      </c>
      <c r="F159" s="652">
        <f t="shared" si="11"/>
        <v>299.33</v>
      </c>
      <c r="BI159"/>
      <c r="BJ159"/>
      <c r="BK159"/>
      <c r="BL159"/>
      <c r="BM159"/>
      <c r="BN159"/>
      <c r="BO159"/>
      <c r="BP159"/>
      <c r="BQ159"/>
      <c r="BR159"/>
      <c r="BS159"/>
      <c r="BT159"/>
      <c r="BU159"/>
    </row>
    <row r="160" spans="2:73" ht="21.75">
      <c r="B160" s="646">
        <v>156</v>
      </c>
      <c r="C160" s="652">
        <f>IF($C$2=20.5,'S3'!A160,IF($C$2=21.5,'S3'!B160,IF($C$2=22.5,'S3'!C160,IF($C$2=23.5,'S3'!D160,IF($C$2=24.5,'S3'!E160,IF($C$2=25.5,'S3'!F160,IF($C$2=26.5,'S3'!G160,IF($C$2=27.5,'S3'!H160,IF($C$2=28.5,'S3'!I160,IF($C$2=29.5,'S3'!J160,IF($C$2=30.5,'S3'!K160,IF($C$2=31.5,'S3'!L160))))))))))))</f>
        <v>350.53</v>
      </c>
      <c r="D160" s="652">
        <f t="shared" si="12"/>
        <v>490.74</v>
      </c>
      <c r="E160" s="969">
        <f>IF($E$2=20.5,'S3'!Y160,IF($E$2=21.5,'S3'!Z160,IF($E$2=22.5,'S3'!AA160,IF($E$2=23.5,'S3'!AB160,IF($E$2=24.5,'S3'!AC160,IF($E$2=25.5,'S3'!AD160,IF($E$2=26.5,'S3'!AE160,IF($E$2=27.5,'S3'!AF160,IF($E$2=28.5,'S3'!AG160,IF($E$2=29.5,'S3'!AH160,IF($E$2=30.5,'S3'!AI160,IF($E$2=31.5,'S3'!AJ160))))))))))))</f>
        <v>215.17</v>
      </c>
      <c r="F160" s="652">
        <f t="shared" si="11"/>
        <v>301.24</v>
      </c>
      <c r="BI160"/>
      <c r="BJ160"/>
      <c r="BK160"/>
      <c r="BL160"/>
      <c r="BM160"/>
      <c r="BN160"/>
      <c r="BO160"/>
      <c r="BP160"/>
      <c r="BQ160"/>
      <c r="BR160"/>
      <c r="BS160"/>
      <c r="BT160"/>
      <c r="BU160"/>
    </row>
    <row r="161" spans="2:73" ht="21.75">
      <c r="B161" s="646">
        <v>157</v>
      </c>
      <c r="C161" s="652">
        <f>IF($C$2=20.5,'S3'!A161,IF($C$2=21.5,'S3'!B161,IF($C$2=22.5,'S3'!C161,IF($C$2=23.5,'S3'!D161,IF($C$2=24.5,'S3'!E161,IF($C$2=25.5,'S3'!F161,IF($C$2=26.5,'S3'!G161,IF($C$2=27.5,'S3'!H161,IF($C$2=28.5,'S3'!I161,IF($C$2=29.5,'S3'!J161,IF($C$2=30.5,'S3'!K161,IF($C$2=31.5,'S3'!L161))))))))))))</f>
        <v>352.74</v>
      </c>
      <c r="D161" s="652">
        <f t="shared" si="12"/>
        <v>493.84</v>
      </c>
      <c r="E161" s="969">
        <f>IF($E$2=20.5,'S3'!Y161,IF($E$2=21.5,'S3'!Z161,IF($E$2=22.5,'S3'!AA161,IF($E$2=23.5,'S3'!AB161,IF($E$2=24.5,'S3'!AC161,IF($E$2=25.5,'S3'!AD161,IF($E$2=26.5,'S3'!AE161,IF($E$2=27.5,'S3'!AF161,IF($E$2=28.5,'S3'!AG161,IF($E$2=29.5,'S3'!AH161,IF($E$2=30.5,'S3'!AI161,IF($E$2=31.5,'S3'!AJ161))))))))))))</f>
        <v>216.55</v>
      </c>
      <c r="F161" s="652">
        <f t="shared" si="11"/>
        <v>303.17</v>
      </c>
      <c r="BI161"/>
      <c r="BJ161"/>
      <c r="BK161"/>
      <c r="BL161"/>
      <c r="BM161"/>
      <c r="BN161"/>
      <c r="BO161"/>
      <c r="BP161"/>
      <c r="BQ161"/>
      <c r="BR161"/>
      <c r="BS161"/>
      <c r="BT161"/>
      <c r="BU161"/>
    </row>
    <row r="162" spans="2:73" ht="21.75">
      <c r="B162" s="646">
        <v>158</v>
      </c>
      <c r="C162" s="652">
        <f>IF($C$2=20.5,'S3'!A162,IF($C$2=21.5,'S3'!B162,IF($C$2=22.5,'S3'!C162,IF($C$2=23.5,'S3'!D162,IF($C$2=24.5,'S3'!E162,IF($C$2=25.5,'S3'!F162,IF($C$2=26.5,'S3'!G162,IF($C$2=27.5,'S3'!H162,IF($C$2=28.5,'S3'!I162,IF($C$2=29.5,'S3'!J162,IF($C$2=30.5,'S3'!K162,IF($C$2=31.5,'S3'!L162))))))))))))</f>
        <v>355.36</v>
      </c>
      <c r="D162" s="652">
        <f t="shared" si="12"/>
        <v>497.5</v>
      </c>
      <c r="E162" s="969">
        <f>IF($E$2=20.5,'S3'!Y162,IF($E$2=21.5,'S3'!Z162,IF($E$2=22.5,'S3'!AA162,IF($E$2=23.5,'S3'!AB162,IF($E$2=24.5,'S3'!AC162,IF($E$2=25.5,'S3'!AD162,IF($E$2=26.5,'S3'!AE162,IF($E$2=27.5,'S3'!AF162,IF($E$2=28.5,'S3'!AG162,IF($E$2=29.5,'S3'!AH162,IF($E$2=30.5,'S3'!AI162,IF($E$2=31.5,'S3'!AJ162))))))))))))</f>
        <v>217.92</v>
      </c>
      <c r="F162" s="652">
        <f t="shared" si="11"/>
        <v>305.08999999999997</v>
      </c>
      <c r="BI162"/>
      <c r="BJ162"/>
      <c r="BK162"/>
      <c r="BL162"/>
      <c r="BM162"/>
      <c r="BN162"/>
      <c r="BO162"/>
      <c r="BP162"/>
      <c r="BQ162"/>
      <c r="BR162"/>
      <c r="BS162"/>
      <c r="BT162"/>
      <c r="BU162"/>
    </row>
    <row r="163" spans="2:73" ht="21.75">
      <c r="B163" s="646">
        <v>159</v>
      </c>
      <c r="C163" s="652">
        <f>IF($C$2=20.5,'S3'!A163,IF($C$2=21.5,'S3'!B163,IF($C$2=22.5,'S3'!C163,IF($C$2=23.5,'S3'!D163,IF($C$2=24.5,'S3'!E163,IF($C$2=25.5,'S3'!F163,IF($C$2=26.5,'S3'!G163,IF($C$2=27.5,'S3'!H163,IF($C$2=28.5,'S3'!I163,IF($C$2=29.5,'S3'!J163,IF($C$2=30.5,'S3'!K163,IF($C$2=31.5,'S3'!L163))))))))))))</f>
        <v>357.58</v>
      </c>
      <c r="D163" s="652">
        <f t="shared" si="12"/>
        <v>500.61</v>
      </c>
      <c r="E163" s="969">
        <f>IF($E$2=20.5,'S3'!Y163,IF($E$2=21.5,'S3'!Z163,IF($E$2=22.5,'S3'!AA163,IF($E$2=23.5,'S3'!AB163,IF($E$2=24.5,'S3'!AC163,IF($E$2=25.5,'S3'!AD163,IF($E$2=26.5,'S3'!AE163,IF($E$2=27.5,'S3'!AF163,IF($E$2=28.5,'S3'!AG163,IF($E$2=29.5,'S3'!AH163,IF($E$2=30.5,'S3'!AI163,IF($E$2=31.5,'S3'!AJ163))))))))))))</f>
        <v>219.29</v>
      </c>
      <c r="F163" s="652">
        <f t="shared" si="11"/>
        <v>307.01</v>
      </c>
      <c r="BI163"/>
      <c r="BJ163"/>
      <c r="BK163"/>
      <c r="BL163"/>
      <c r="BM163"/>
      <c r="BN163"/>
      <c r="BO163"/>
      <c r="BP163"/>
      <c r="BQ163"/>
      <c r="BR163"/>
      <c r="BS163"/>
      <c r="BT163"/>
      <c r="BU163"/>
    </row>
    <row r="164" spans="2:73" ht="21.75">
      <c r="B164" s="646">
        <v>160</v>
      </c>
      <c r="C164" s="652">
        <f>IF($C$2=20.5,'S3'!A164,IF($C$2=21.5,'S3'!B164,IF($C$2=22.5,'S3'!C164,IF($C$2=23.5,'S3'!D164,IF($C$2=24.5,'S3'!E164,IF($C$2=25.5,'S3'!F164,IF($C$2=26.5,'S3'!G164,IF($C$2=27.5,'S3'!H164,IF($C$2=28.5,'S3'!I164,IF($C$2=29.5,'S3'!J164,IF($C$2=30.5,'S3'!K164,IF($C$2=31.5,'S3'!L164))))))))))))</f>
        <v>359.81</v>
      </c>
      <c r="D164" s="652">
        <f t="shared" si="12"/>
        <v>503.73</v>
      </c>
      <c r="E164" s="969">
        <f>IF($E$2=20.5,'S3'!Y164,IF($E$2=21.5,'S3'!Z164,IF($E$2=22.5,'S3'!AA164,IF($E$2=23.5,'S3'!AB164,IF($E$2=24.5,'S3'!AC164,IF($E$2=25.5,'S3'!AD164,IF($E$2=26.5,'S3'!AE164,IF($E$2=27.5,'S3'!AF164,IF($E$2=28.5,'S3'!AG164,IF($E$2=29.5,'S3'!AH164,IF($E$2=30.5,'S3'!AI164,IF($E$2=31.5,'S3'!AJ164))))))))))))</f>
        <v>220.66</v>
      </c>
      <c r="F164" s="652">
        <f t="shared" si="11"/>
        <v>308.92</v>
      </c>
      <c r="BI164"/>
      <c r="BJ164"/>
      <c r="BK164"/>
      <c r="BL164"/>
      <c r="BM164"/>
      <c r="BN164"/>
      <c r="BO164"/>
      <c r="BP164"/>
      <c r="BQ164"/>
      <c r="BR164"/>
      <c r="BS164"/>
      <c r="BT164"/>
      <c r="BU164"/>
    </row>
    <row r="165" spans="2:73" ht="21.75">
      <c r="B165" s="646">
        <v>161</v>
      </c>
      <c r="C165" s="652">
        <f>IF($C$2=20.5,'S3'!A165,IF($C$2=21.5,'S3'!B165,IF($C$2=22.5,'S3'!C165,IF($C$2=23.5,'S3'!D165,IF($C$2=24.5,'S3'!E165,IF($C$2=25.5,'S3'!F165,IF($C$2=26.5,'S3'!G165,IF($C$2=27.5,'S3'!H165,IF($C$2=28.5,'S3'!I165,IF($C$2=29.5,'S3'!J165,IF($C$2=30.5,'S3'!K165,IF($C$2=31.5,'S3'!L165))))))))))))</f>
        <v>362.04</v>
      </c>
      <c r="D165" s="652">
        <f t="shared" si="12"/>
        <v>506.86</v>
      </c>
      <c r="E165" s="969">
        <f>IF($E$2=20.5,'S3'!Y165,IF($E$2=21.5,'S3'!Z165,IF($E$2=22.5,'S3'!AA165,IF($E$2=23.5,'S3'!AB165,IF($E$2=24.5,'S3'!AC165,IF($E$2=25.5,'S3'!AD165,IF($E$2=26.5,'S3'!AE165,IF($E$2=27.5,'S3'!AF165,IF($E$2=28.5,'S3'!AG165,IF($E$2=29.5,'S3'!AH165,IF($E$2=30.5,'S3'!AI165,IF($E$2=31.5,'S3'!AJ165))))))))))))</f>
        <v>222.24</v>
      </c>
      <c r="F165" s="652">
        <f t="shared" si="11"/>
        <v>311.14</v>
      </c>
      <c r="BI165"/>
      <c r="BJ165"/>
      <c r="BK165"/>
      <c r="BL165"/>
      <c r="BM165"/>
      <c r="BN165"/>
      <c r="BO165"/>
      <c r="BP165"/>
      <c r="BQ165"/>
      <c r="BR165"/>
      <c r="BS165"/>
      <c r="BT165"/>
      <c r="BU165"/>
    </row>
    <row r="166" spans="2:73" ht="21.75">
      <c r="B166" s="646">
        <v>162</v>
      </c>
      <c r="C166" s="652">
        <f>IF($C$2=20.5,'S3'!A166,IF($C$2=21.5,'S3'!B166,IF($C$2=22.5,'S3'!C166,IF($C$2=23.5,'S3'!D166,IF($C$2=24.5,'S3'!E166,IF($C$2=25.5,'S3'!F166,IF($C$2=26.5,'S3'!G166,IF($C$2=27.5,'S3'!H166,IF($C$2=28.5,'S3'!I166,IF($C$2=29.5,'S3'!J166,IF($C$2=30.5,'S3'!K166,IF($C$2=31.5,'S3'!L166))))))))))))</f>
        <v>364.27</v>
      </c>
      <c r="D166" s="652">
        <f t="shared" si="12"/>
        <v>509.98</v>
      </c>
      <c r="E166" s="969">
        <f>IF($E$2=20.5,'S3'!Y166,IF($E$2=21.5,'S3'!Z166,IF($E$2=22.5,'S3'!AA166,IF($E$2=23.5,'S3'!AB166,IF($E$2=24.5,'S3'!AC166,IF($E$2=25.5,'S3'!AD166,IF($E$2=26.5,'S3'!AE166,IF($E$2=27.5,'S3'!AF166,IF($E$2=28.5,'S3'!AG166,IF($E$2=29.5,'S3'!AH166,IF($E$2=30.5,'S3'!AI166,IF($E$2=31.5,'S3'!AJ166))))))))))))</f>
        <v>223.42</v>
      </c>
      <c r="F166" s="652">
        <f t="shared" si="11"/>
        <v>312.79000000000002</v>
      </c>
      <c r="BI166"/>
      <c r="BJ166"/>
      <c r="BK166"/>
      <c r="BL166"/>
      <c r="BM166"/>
      <c r="BN166"/>
      <c r="BO166"/>
      <c r="BP166"/>
      <c r="BQ166"/>
      <c r="BR166"/>
      <c r="BS166"/>
      <c r="BT166"/>
      <c r="BU166"/>
    </row>
    <row r="167" spans="2:73" ht="21.75">
      <c r="B167" s="646">
        <v>163</v>
      </c>
      <c r="C167" s="652">
        <f>IF($C$2=20.5,'S3'!A167,IF($C$2=21.5,'S3'!B167,IF($C$2=22.5,'S3'!C167,IF($C$2=23.5,'S3'!D167,IF($C$2=24.5,'S3'!E167,IF($C$2=25.5,'S3'!F167,IF($C$2=26.5,'S3'!G167,IF($C$2=27.5,'S3'!H167,IF($C$2=28.5,'S3'!I167,IF($C$2=29.5,'S3'!J167,IF($C$2=30.5,'S3'!K167,IF($C$2=31.5,'S3'!L167))))))))))))</f>
        <v>366.51</v>
      </c>
      <c r="D167" s="652">
        <f t="shared" si="12"/>
        <v>513.11</v>
      </c>
      <c r="E167" s="969">
        <f>IF($E$2=20.5,'S3'!Y167,IF($E$2=21.5,'S3'!Z167,IF($E$2=22.5,'S3'!AA167,IF($E$2=23.5,'S3'!AB167,IF($E$2=24.5,'S3'!AC167,IF($E$2=25.5,'S3'!AD167,IF($E$2=26.5,'S3'!AE167,IF($E$2=27.5,'S3'!AF167,IF($E$2=28.5,'S3'!AG167,IF($E$2=29.5,'S3'!AH167,IF($E$2=30.5,'S3'!AI167,IF($E$2=31.5,'S3'!AJ167))))))))))))</f>
        <v>224.79</v>
      </c>
      <c r="F167" s="652">
        <f t="shared" si="11"/>
        <v>314.70999999999998</v>
      </c>
      <c r="BI167"/>
      <c r="BJ167"/>
      <c r="BK167"/>
      <c r="BL167"/>
      <c r="BM167"/>
      <c r="BN167"/>
      <c r="BO167"/>
      <c r="BP167"/>
      <c r="BQ167"/>
      <c r="BR167"/>
      <c r="BS167"/>
      <c r="BT167"/>
      <c r="BU167"/>
    </row>
    <row r="168" spans="2:73" ht="21.75">
      <c r="B168" s="646">
        <v>164</v>
      </c>
      <c r="C168" s="652">
        <f>IF($C$2=20.5,'S3'!A168,IF($C$2=21.5,'S3'!B168,IF($C$2=22.5,'S3'!C168,IF($C$2=23.5,'S3'!D168,IF($C$2=24.5,'S3'!E168,IF($C$2=25.5,'S3'!F168,IF($C$2=26.5,'S3'!G168,IF($C$2=27.5,'S3'!H168,IF($C$2=28.5,'S3'!I168,IF($C$2=29.5,'S3'!J168,IF($C$2=30.5,'S3'!K168,IF($C$2=31.5,'S3'!L168))))))))))))</f>
        <v>368.76</v>
      </c>
      <c r="D168" s="652">
        <f t="shared" si="12"/>
        <v>516.26</v>
      </c>
      <c r="E168" s="969">
        <f>IF($E$2=20.5,'S3'!Y168,IF($E$2=21.5,'S3'!Z168,IF($E$2=22.5,'S3'!AA168,IF($E$2=23.5,'S3'!AB168,IF($E$2=24.5,'S3'!AC168,IF($E$2=25.5,'S3'!AD168,IF($E$2=26.5,'S3'!AE168,IF($E$2=27.5,'S3'!AF168,IF($E$2=28.5,'S3'!AG168,IF($E$2=29.5,'S3'!AH168,IF($E$2=30.5,'S3'!AI168,IF($E$2=31.5,'S3'!AJ168))))))))))))</f>
        <v>226.17</v>
      </c>
      <c r="F168" s="652">
        <f t="shared" si="11"/>
        <v>316.64</v>
      </c>
      <c r="BI168"/>
      <c r="BJ168"/>
      <c r="BK168"/>
      <c r="BL168"/>
      <c r="BM168"/>
      <c r="BN168"/>
      <c r="BO168"/>
      <c r="BP168"/>
      <c r="BQ168"/>
      <c r="BR168"/>
      <c r="BS168"/>
      <c r="BT168"/>
      <c r="BU168"/>
    </row>
    <row r="169" spans="2:73" ht="21.75">
      <c r="B169" s="646">
        <v>165</v>
      </c>
      <c r="C169" s="652">
        <f>IF($C$2=20.5,'S3'!A169,IF($C$2=21.5,'S3'!B169,IF($C$2=22.5,'S3'!C169,IF($C$2=23.5,'S3'!D169,IF($C$2=24.5,'S3'!E169,IF($C$2=25.5,'S3'!F169,IF($C$2=26.5,'S3'!G169,IF($C$2=27.5,'S3'!H169,IF($C$2=28.5,'S3'!I169,IF($C$2=29.5,'S3'!J169,IF($C$2=30.5,'S3'!K169,IF($C$2=31.5,'S3'!L169))))))))))))</f>
        <v>371.01</v>
      </c>
      <c r="D169" s="652">
        <f t="shared" si="12"/>
        <v>519.41</v>
      </c>
      <c r="E169" s="969">
        <f>IF($E$2=20.5,'S3'!Y169,IF($E$2=21.5,'S3'!Z169,IF($E$2=22.5,'S3'!AA169,IF($E$2=23.5,'S3'!AB169,IF($E$2=24.5,'S3'!AC169,IF($E$2=25.5,'S3'!AD169,IF($E$2=26.5,'S3'!AE169,IF($E$2=27.5,'S3'!AF169,IF($E$2=28.5,'S3'!AG169,IF($E$2=29.5,'S3'!AH169,IF($E$2=30.5,'S3'!AI169,IF($E$2=31.5,'S3'!AJ169))))))))))))</f>
        <v>227.56</v>
      </c>
      <c r="F169" s="652">
        <f t="shared" si="11"/>
        <v>318.58</v>
      </c>
      <c r="BI169"/>
      <c r="BJ169"/>
      <c r="BK169"/>
      <c r="BL169"/>
      <c r="BM169"/>
      <c r="BN169"/>
      <c r="BO169"/>
      <c r="BP169"/>
      <c r="BQ169"/>
      <c r="BR169"/>
      <c r="BS169"/>
      <c r="BT169"/>
      <c r="BU169"/>
    </row>
    <row r="170" spans="2:73" ht="21.75">
      <c r="B170" s="646">
        <v>166</v>
      </c>
      <c r="C170" s="652">
        <f>IF($C$2=20.5,'S3'!A170,IF($C$2=21.5,'S3'!B170,IF($C$2=22.5,'S3'!C170,IF($C$2=23.5,'S3'!D170,IF($C$2=24.5,'S3'!E170,IF($C$2=25.5,'S3'!F170,IF($C$2=26.5,'S3'!G170,IF($C$2=27.5,'S3'!H170,IF($C$2=28.5,'S3'!I170,IF($C$2=29.5,'S3'!J170,IF($C$2=30.5,'S3'!K170,IF($C$2=31.5,'S3'!L170))))))))))))</f>
        <v>373.27</v>
      </c>
      <c r="D170" s="652">
        <f t="shared" si="12"/>
        <v>522.58000000000004</v>
      </c>
      <c r="E170" s="969">
        <f>IF($E$2=20.5,'S3'!Y170,IF($E$2=21.5,'S3'!Z170,IF($E$2=22.5,'S3'!AA170,IF($E$2=23.5,'S3'!AB170,IF($E$2=24.5,'S3'!AC170,IF($E$2=25.5,'S3'!AD170,IF($E$2=26.5,'S3'!AE170,IF($E$2=27.5,'S3'!AF170,IF($E$2=28.5,'S3'!AG170,IF($E$2=29.5,'S3'!AH170,IF($E$2=30.5,'S3'!AI170,IF($E$2=31.5,'S3'!AJ170))))))))))))</f>
        <v>228.94</v>
      </c>
      <c r="F170" s="652">
        <f t="shared" si="11"/>
        <v>320.52</v>
      </c>
      <c r="BI170"/>
      <c r="BJ170"/>
      <c r="BK170"/>
      <c r="BL170"/>
      <c r="BM170"/>
      <c r="BN170"/>
      <c r="BO170"/>
      <c r="BP170"/>
      <c r="BQ170"/>
      <c r="BR170"/>
      <c r="BS170"/>
      <c r="BT170"/>
      <c r="BU170"/>
    </row>
    <row r="171" spans="2:73" ht="21.75">
      <c r="B171" s="646">
        <v>167</v>
      </c>
      <c r="C171" s="652">
        <f>IF($C$2=20.5,'S3'!A171,IF($C$2=21.5,'S3'!B171,IF($C$2=22.5,'S3'!C171,IF($C$2=23.5,'S3'!D171,IF($C$2=24.5,'S3'!E171,IF($C$2=25.5,'S3'!F171,IF($C$2=26.5,'S3'!G171,IF($C$2=27.5,'S3'!H171,IF($C$2=28.5,'S3'!I171,IF($C$2=29.5,'S3'!J171,IF($C$2=30.5,'S3'!K171,IF($C$2=31.5,'S3'!L171))))))))))))</f>
        <v>375.53</v>
      </c>
      <c r="D171" s="652">
        <f t="shared" si="12"/>
        <v>525.74</v>
      </c>
      <c r="E171" s="969">
        <f>IF($E$2=20.5,'S3'!Y171,IF($E$2=21.5,'S3'!Z171,IF($E$2=22.5,'S3'!AA171,IF($E$2=23.5,'S3'!AB171,IF($E$2=24.5,'S3'!AC171,IF($E$2=25.5,'S3'!AD171,IF($E$2=26.5,'S3'!AE171,IF($E$2=27.5,'S3'!AF171,IF($E$2=28.5,'S3'!AG171,IF($E$2=29.5,'S3'!AH171,IF($E$2=30.5,'S3'!AI171,IF($E$2=31.5,'S3'!AJ171))))))))))))</f>
        <v>230.32</v>
      </c>
      <c r="F171" s="652">
        <f t="shared" si="11"/>
        <v>322.45</v>
      </c>
      <c r="BI171"/>
      <c r="BJ171"/>
      <c r="BK171"/>
      <c r="BL171"/>
      <c r="BM171"/>
      <c r="BN171"/>
      <c r="BO171"/>
      <c r="BP171"/>
      <c r="BQ171"/>
      <c r="BR171"/>
      <c r="BS171"/>
      <c r="BT171"/>
      <c r="BU171"/>
    </row>
    <row r="172" spans="2:73" ht="21.75">
      <c r="B172" s="646">
        <v>168</v>
      </c>
      <c r="C172" s="652">
        <f>IF($C$2=20.5,'S3'!A172,IF($C$2=21.5,'S3'!B172,IF($C$2=22.5,'S3'!C172,IF($C$2=23.5,'S3'!D172,IF($C$2=24.5,'S3'!E172,IF($C$2=25.5,'S3'!F172,IF($C$2=26.5,'S3'!G172,IF($C$2=27.5,'S3'!H172,IF($C$2=28.5,'S3'!I172,IF($C$2=29.5,'S3'!J172,IF($C$2=30.5,'S3'!K172,IF($C$2=31.5,'S3'!L172))))))))))))</f>
        <v>377.8</v>
      </c>
      <c r="D172" s="652">
        <f t="shared" si="12"/>
        <v>528.91999999999996</v>
      </c>
      <c r="E172" s="969">
        <f>IF($E$2=20.5,'S3'!Y172,IF($E$2=21.5,'S3'!Z172,IF($E$2=22.5,'S3'!AA172,IF($E$2=23.5,'S3'!AB172,IF($E$2=24.5,'S3'!AC172,IF($E$2=25.5,'S3'!AD172,IF($E$2=26.5,'S3'!AE172,IF($E$2=27.5,'S3'!AF172,IF($E$2=28.5,'S3'!AG172,IF($E$2=29.5,'S3'!AH172,IF($E$2=30.5,'S3'!AI172,IF($E$2=31.5,'S3'!AJ172))))))))))))</f>
        <v>231.71</v>
      </c>
      <c r="F172" s="652">
        <f t="shared" si="11"/>
        <v>324.39</v>
      </c>
      <c r="BI172"/>
      <c r="BJ172"/>
      <c r="BK172"/>
      <c r="BL172"/>
      <c r="BM172"/>
      <c r="BN172"/>
      <c r="BO172"/>
      <c r="BP172"/>
      <c r="BQ172"/>
      <c r="BR172"/>
      <c r="BS172"/>
      <c r="BT172"/>
      <c r="BU172"/>
    </row>
    <row r="173" spans="2:73" ht="21.75">
      <c r="B173" s="646">
        <v>169</v>
      </c>
      <c r="C173" s="652">
        <f>IF($C$2=20.5,'S3'!A173,IF($C$2=21.5,'S3'!B173,IF($C$2=22.5,'S3'!C173,IF($C$2=23.5,'S3'!D173,IF($C$2=24.5,'S3'!E173,IF($C$2=25.5,'S3'!F173,IF($C$2=26.5,'S3'!G173,IF($C$2=27.5,'S3'!H173,IF($C$2=28.5,'S3'!I173,IF($C$2=29.5,'S3'!J173,IF($C$2=30.5,'S3'!K173,IF($C$2=31.5,'S3'!L173))))))))))))</f>
        <v>379.59</v>
      </c>
      <c r="D173" s="652">
        <f t="shared" si="12"/>
        <v>531.42999999999995</v>
      </c>
      <c r="E173" s="969">
        <f>IF($E$2=20.5,'S3'!Y173,IF($E$2=21.5,'S3'!Z173,IF($E$2=22.5,'S3'!AA173,IF($E$2=23.5,'S3'!AB173,IF($E$2=24.5,'S3'!AC173,IF($E$2=25.5,'S3'!AD173,IF($E$2=26.5,'S3'!AE173,IF($E$2=27.5,'S3'!AF173,IF($E$2=28.5,'S3'!AG173,IF($E$2=29.5,'S3'!AH173,IF($E$2=30.5,'S3'!AI173,IF($E$2=31.5,'S3'!AJ173))))))))))))</f>
        <v>233.1</v>
      </c>
      <c r="F173" s="652">
        <f t="shared" si="11"/>
        <v>326.33999999999997</v>
      </c>
      <c r="BI173"/>
      <c r="BJ173"/>
      <c r="BK173"/>
      <c r="BL173"/>
      <c r="BM173"/>
      <c r="BN173"/>
      <c r="BO173"/>
      <c r="BP173"/>
      <c r="BQ173"/>
      <c r="BR173"/>
      <c r="BS173"/>
      <c r="BT173"/>
      <c r="BU173"/>
    </row>
    <row r="174" spans="2:73" ht="21.75">
      <c r="B174" s="646">
        <v>170</v>
      </c>
      <c r="C174" s="652">
        <f>IF($C$2=20.5,'S3'!A174,IF($C$2=21.5,'S3'!B174,IF($C$2=22.5,'S3'!C174,IF($C$2=23.5,'S3'!D174,IF($C$2=24.5,'S3'!E174,IF($C$2=25.5,'S3'!F174,IF($C$2=26.5,'S3'!G174,IF($C$2=27.5,'S3'!H174,IF($C$2=28.5,'S3'!I174,IF($C$2=29.5,'S3'!J174,IF($C$2=30.5,'S3'!K174,IF($C$2=31.5,'S3'!L174))))))))))))</f>
        <v>381.87</v>
      </c>
      <c r="D174" s="652">
        <f t="shared" si="12"/>
        <v>534.62</v>
      </c>
      <c r="E174" s="969">
        <f>IF($E$2=20.5,'S3'!Y174,IF($E$2=21.5,'S3'!Z174,IF($E$2=22.5,'S3'!AA174,IF($E$2=23.5,'S3'!AB174,IF($E$2=24.5,'S3'!AC174,IF($E$2=25.5,'S3'!AD174,IF($E$2=26.5,'S3'!AE174,IF($E$2=27.5,'S3'!AF174,IF($E$2=28.5,'S3'!AG174,IF($E$2=29.5,'S3'!AH174,IF($E$2=30.5,'S3'!AI174,IF($E$2=31.5,'S3'!AJ174))))))))))))</f>
        <v>234.49</v>
      </c>
      <c r="F174" s="652">
        <f t="shared" si="11"/>
        <v>328.29</v>
      </c>
      <c r="BI174"/>
      <c r="BJ174"/>
      <c r="BK174"/>
      <c r="BL174"/>
      <c r="BM174"/>
      <c r="BN174"/>
      <c r="BO174"/>
      <c r="BP174"/>
      <c r="BQ174"/>
      <c r="BR174"/>
      <c r="BS174"/>
      <c r="BT174"/>
      <c r="BU174"/>
    </row>
    <row r="175" spans="2:73" ht="21.75">
      <c r="B175" s="646">
        <v>171</v>
      </c>
      <c r="C175" s="652">
        <f>IF($C$2=20.5,'S3'!A175,IF($C$2=21.5,'S3'!B175,IF($C$2=22.5,'S3'!C175,IF($C$2=23.5,'S3'!D175,IF($C$2=24.5,'S3'!E175,IF($C$2=25.5,'S3'!F175,IF($C$2=26.5,'S3'!G175,IF($C$2=27.5,'S3'!H175,IF($C$2=28.5,'S3'!I175,IF($C$2=29.5,'S3'!J175,IF($C$2=30.5,'S3'!K175,IF($C$2=31.5,'S3'!L175))))))))))))</f>
        <v>384.15</v>
      </c>
      <c r="D175" s="652">
        <f t="shared" si="12"/>
        <v>537.80999999999995</v>
      </c>
      <c r="E175" s="969">
        <f>IF($E$2=20.5,'S3'!Y175,IF($E$2=21.5,'S3'!Z175,IF($E$2=22.5,'S3'!AA175,IF($E$2=23.5,'S3'!AB175,IF($E$2=24.5,'S3'!AC175,IF($E$2=25.5,'S3'!AD175,IF($E$2=26.5,'S3'!AE175,IF($E$2=27.5,'S3'!AF175,IF($E$2=28.5,'S3'!AG175,IF($E$2=29.5,'S3'!AH175,IF($E$2=30.5,'S3'!AI175,IF($E$2=31.5,'S3'!AJ175))))))))))))</f>
        <v>235.88</v>
      </c>
      <c r="F175" s="652">
        <f t="shared" si="11"/>
        <v>330.23</v>
      </c>
      <c r="BI175"/>
      <c r="BJ175"/>
      <c r="BK175"/>
      <c r="BL175"/>
      <c r="BM175"/>
      <c r="BN175"/>
      <c r="BO175"/>
      <c r="BP175"/>
      <c r="BQ175"/>
      <c r="BR175"/>
      <c r="BS175"/>
      <c r="BT175"/>
      <c r="BU175"/>
    </row>
    <row r="176" spans="2:73" ht="21.75">
      <c r="B176" s="646">
        <v>172</v>
      </c>
      <c r="C176" s="652">
        <f>IF($C$2=20.5,'S3'!A176,IF($C$2=21.5,'S3'!B176,IF($C$2=22.5,'S3'!C176,IF($C$2=23.5,'S3'!D176,IF($C$2=24.5,'S3'!E176,IF($C$2=25.5,'S3'!F176,IF($C$2=26.5,'S3'!G176,IF($C$2=27.5,'S3'!H176,IF($C$2=28.5,'S3'!I176,IF($C$2=29.5,'S3'!J176,IF($C$2=30.5,'S3'!K176,IF($C$2=31.5,'S3'!L176))))))))))))</f>
        <v>386.44</v>
      </c>
      <c r="D176" s="652">
        <f t="shared" si="12"/>
        <v>541.02</v>
      </c>
      <c r="E176" s="969">
        <f>IF($E$2=20.5,'S3'!Y176,IF($E$2=21.5,'S3'!Z176,IF($E$2=22.5,'S3'!AA176,IF($E$2=23.5,'S3'!AB176,IF($E$2=24.5,'S3'!AC176,IF($E$2=25.5,'S3'!AD176,IF($E$2=26.5,'S3'!AE176,IF($E$2=27.5,'S3'!AF176,IF($E$2=28.5,'S3'!AG176,IF($E$2=29.5,'S3'!AH176,IF($E$2=30.5,'S3'!AI176,IF($E$2=31.5,'S3'!AJ176))))))))))))</f>
        <v>237.27</v>
      </c>
      <c r="F176" s="652">
        <f t="shared" si="11"/>
        <v>332.18</v>
      </c>
      <c r="BI176"/>
      <c r="BJ176"/>
      <c r="BK176"/>
      <c r="BL176"/>
      <c r="BM176"/>
      <c r="BN176"/>
      <c r="BO176"/>
      <c r="BP176"/>
      <c r="BQ176"/>
      <c r="BR176"/>
      <c r="BS176"/>
      <c r="BT176"/>
      <c r="BU176"/>
    </row>
    <row r="177" spans="2:73" ht="21.75">
      <c r="B177" s="646">
        <v>173</v>
      </c>
      <c r="C177" s="652">
        <f>IF($C$2=20.5,'S3'!A177,IF($C$2=21.5,'S3'!B177,IF($C$2=22.5,'S3'!C177,IF($C$2=23.5,'S3'!D177,IF($C$2=24.5,'S3'!E177,IF($C$2=25.5,'S3'!F177,IF($C$2=26.5,'S3'!G177,IF($C$2=27.5,'S3'!H177,IF($C$2=28.5,'S3'!I177,IF($C$2=29.5,'S3'!J177,IF($C$2=30.5,'S3'!K177,IF($C$2=31.5,'S3'!L177))))))))))))</f>
        <v>388.73</v>
      </c>
      <c r="D177" s="652">
        <f t="shared" si="12"/>
        <v>544.22</v>
      </c>
      <c r="E177" s="969">
        <f>IF($E$2=20.5,'S3'!Y177,IF($E$2=21.5,'S3'!Z177,IF($E$2=22.5,'S3'!AA177,IF($E$2=23.5,'S3'!AB177,IF($E$2=24.5,'S3'!AC177,IF($E$2=25.5,'S3'!AD177,IF($E$2=26.5,'S3'!AE177,IF($E$2=27.5,'S3'!AF177,IF($E$2=28.5,'S3'!AG177,IF($E$2=29.5,'S3'!AH177,IF($E$2=30.5,'S3'!AI177,IF($E$2=31.5,'S3'!AJ177))))))))))))</f>
        <v>238.53</v>
      </c>
      <c r="F177" s="652">
        <f t="shared" si="11"/>
        <v>333.94</v>
      </c>
      <c r="BI177"/>
      <c r="BJ177"/>
      <c r="BK177"/>
      <c r="BL177"/>
      <c r="BM177"/>
      <c r="BN177"/>
      <c r="BO177"/>
      <c r="BP177"/>
      <c r="BQ177"/>
      <c r="BR177"/>
      <c r="BS177"/>
      <c r="BT177"/>
      <c r="BU177"/>
    </row>
    <row r="178" spans="2:73" ht="21.75">
      <c r="B178" s="646">
        <v>174</v>
      </c>
      <c r="C178" s="652">
        <f>IF($C$2=20.5,'S3'!A178,IF($C$2=21.5,'S3'!B178,IF($C$2=22.5,'S3'!C178,IF($C$2=23.5,'S3'!D178,IF($C$2=24.5,'S3'!E178,IF($C$2=25.5,'S3'!F178,IF($C$2=26.5,'S3'!G178,IF($C$2=27.5,'S3'!H178,IF($C$2=28.5,'S3'!I178,IF($C$2=29.5,'S3'!J178,IF($C$2=30.5,'S3'!K178,IF($C$2=31.5,'S3'!L178))))))))))))</f>
        <v>391.03</v>
      </c>
      <c r="D178" s="652">
        <f t="shared" si="12"/>
        <v>547.44000000000005</v>
      </c>
      <c r="E178" s="969">
        <f>IF($E$2=20.5,'S3'!Y178,IF($E$2=21.5,'S3'!Z178,IF($E$2=22.5,'S3'!AA178,IF($E$2=23.5,'S3'!AB178,IF($E$2=24.5,'S3'!AC178,IF($E$2=25.5,'S3'!AD178,IF($E$2=26.5,'S3'!AE178,IF($E$2=27.5,'S3'!AF178,IF($E$2=28.5,'S3'!AG178,IF($E$2=29.5,'S3'!AH178,IF($E$2=30.5,'S3'!AI178,IF($E$2=31.5,'S3'!AJ178))))))))))))</f>
        <v>239.92</v>
      </c>
      <c r="F178" s="652">
        <f t="shared" si="11"/>
        <v>335.89</v>
      </c>
      <c r="BI178"/>
      <c r="BJ178"/>
      <c r="BK178"/>
      <c r="BL178"/>
      <c r="BM178"/>
      <c r="BN178"/>
      <c r="BO178"/>
      <c r="BP178"/>
      <c r="BQ178"/>
      <c r="BR178"/>
      <c r="BS178"/>
      <c r="BT178"/>
      <c r="BU178"/>
    </row>
    <row r="179" spans="2:73" ht="21.75">
      <c r="B179" s="646">
        <v>175</v>
      </c>
      <c r="C179" s="652">
        <f>IF($C$2=20.5,'S3'!A179,IF($C$2=21.5,'S3'!B179,IF($C$2=22.5,'S3'!C179,IF($C$2=23.5,'S3'!D179,IF($C$2=24.5,'S3'!E179,IF($C$2=25.5,'S3'!F179,IF($C$2=26.5,'S3'!G179,IF($C$2=27.5,'S3'!H179,IF($C$2=28.5,'S3'!I179,IF($C$2=29.5,'S3'!J179,IF($C$2=30.5,'S3'!K179,IF($C$2=31.5,'S3'!L179))))))))))))</f>
        <v>393.33</v>
      </c>
      <c r="D179" s="652">
        <f t="shared" si="12"/>
        <v>550.66</v>
      </c>
      <c r="E179" s="969">
        <f>IF($E$2=20.5,'S3'!Y179,IF($E$2=21.5,'S3'!Z179,IF($E$2=22.5,'S3'!AA179,IF($E$2=23.5,'S3'!AB179,IF($E$2=24.5,'S3'!AC179,IF($E$2=25.5,'S3'!AD179,IF($E$2=26.5,'S3'!AE179,IF($E$2=27.5,'S3'!AF179,IF($E$2=28.5,'S3'!AG179,IF($E$2=29.5,'S3'!AH179,IF($E$2=30.5,'S3'!AI179,IF($E$2=31.5,'S3'!AJ179))))))))))))</f>
        <v>241.32</v>
      </c>
      <c r="F179" s="652">
        <f t="shared" si="11"/>
        <v>337.85</v>
      </c>
      <c r="BI179"/>
      <c r="BJ179"/>
      <c r="BK179"/>
      <c r="BL179"/>
      <c r="BM179"/>
      <c r="BN179"/>
      <c r="BO179"/>
      <c r="BP179"/>
      <c r="BQ179"/>
      <c r="BR179"/>
      <c r="BS179"/>
      <c r="BT179"/>
      <c r="BU179"/>
    </row>
    <row r="180" spans="2:73" ht="21.75">
      <c r="B180" s="646">
        <v>176</v>
      </c>
      <c r="C180" s="652">
        <f>IF($C$2=20.5,'S3'!A180,IF($C$2=21.5,'S3'!B180,IF($C$2=22.5,'S3'!C180,IF($C$2=23.5,'S3'!D180,IF($C$2=24.5,'S3'!E180,IF($C$2=25.5,'S3'!F180,IF($C$2=26.5,'S3'!G180,IF($C$2=27.5,'S3'!H180,IF($C$2=28.5,'S3'!I180,IF($C$2=29.5,'S3'!J180,IF($C$2=30.5,'S3'!K180,IF($C$2=31.5,'S3'!L180))))))))))))</f>
        <v>395.65</v>
      </c>
      <c r="D180" s="652">
        <f t="shared" si="12"/>
        <v>553.91</v>
      </c>
      <c r="E180" s="969">
        <f>IF($E$2=20.5,'S3'!Y180,IF($E$2=21.5,'S3'!Z180,IF($E$2=22.5,'S3'!AA180,IF($E$2=23.5,'S3'!AB180,IF($E$2=24.5,'S3'!AC180,IF($E$2=25.5,'S3'!AD180,IF($E$2=26.5,'S3'!AE180,IF($E$2=27.5,'S3'!AF180,IF($E$2=28.5,'S3'!AG180,IF($E$2=29.5,'S3'!AH180,IF($E$2=30.5,'S3'!AI180,IF($E$2=31.5,'S3'!AJ180))))))))))))</f>
        <v>242.72</v>
      </c>
      <c r="F180" s="652">
        <f t="shared" si="11"/>
        <v>339.81</v>
      </c>
      <c r="BI180"/>
      <c r="BJ180"/>
      <c r="BK180"/>
      <c r="BL180"/>
      <c r="BM180"/>
      <c r="BN180"/>
      <c r="BO180"/>
      <c r="BP180"/>
      <c r="BQ180"/>
      <c r="BR180"/>
      <c r="BS180"/>
      <c r="BT180"/>
      <c r="BU180"/>
    </row>
    <row r="181" spans="2:73" ht="21.75">
      <c r="B181" s="646">
        <v>177</v>
      </c>
      <c r="C181" s="652">
        <f>IF($C$2=20.5,'S3'!A181,IF($C$2=21.5,'S3'!B181,IF($C$2=22.5,'S3'!C181,IF($C$2=23.5,'S3'!D181,IF($C$2=24.5,'S3'!E181,IF($C$2=25.5,'S3'!F181,IF($C$2=26.5,'S3'!G181,IF($C$2=27.5,'S3'!H181,IF($C$2=28.5,'S3'!I181,IF($C$2=29.5,'S3'!J181,IF($C$2=30.5,'S3'!K181,IF($C$2=31.5,'S3'!L181))))))))))))</f>
        <v>397.96</v>
      </c>
      <c r="D181" s="652">
        <f t="shared" si="12"/>
        <v>557.14</v>
      </c>
      <c r="E181" s="969">
        <f>IF($E$2=20.5,'S3'!Y181,IF($E$2=21.5,'S3'!Z181,IF($E$2=22.5,'S3'!AA181,IF($E$2=23.5,'S3'!AB181,IF($E$2=24.5,'S3'!AC181,IF($E$2=25.5,'S3'!AD181,IF($E$2=26.5,'S3'!AE181,IF($E$2=27.5,'S3'!AF181,IF($E$2=28.5,'S3'!AG181,IF($E$2=29.5,'S3'!AH181,IF($E$2=30.5,'S3'!AI181,IF($E$2=31.5,'S3'!AJ181))))))))))))</f>
        <v>244.12</v>
      </c>
      <c r="F181" s="652">
        <f t="shared" si="11"/>
        <v>341.77</v>
      </c>
      <c r="BI181"/>
      <c r="BJ181"/>
      <c r="BK181"/>
      <c r="BL181"/>
      <c r="BM181"/>
      <c r="BN181"/>
      <c r="BO181"/>
      <c r="BP181"/>
      <c r="BQ181"/>
      <c r="BR181"/>
      <c r="BS181"/>
      <c r="BT181"/>
      <c r="BU181"/>
    </row>
    <row r="182" spans="2:73" ht="21.75">
      <c r="B182" s="646">
        <v>178</v>
      </c>
      <c r="C182" s="652">
        <f>IF($C$2=20.5,'S3'!A182,IF($C$2=21.5,'S3'!B182,IF($C$2=22.5,'S3'!C182,IF($C$2=23.5,'S3'!D182,IF($C$2=24.5,'S3'!E182,IF($C$2=25.5,'S3'!F182,IF($C$2=26.5,'S3'!G182,IF($C$2=27.5,'S3'!H182,IF($C$2=28.5,'S3'!I182,IF($C$2=29.5,'S3'!J182,IF($C$2=30.5,'S3'!K182,IF($C$2=31.5,'S3'!L182))))))))))))</f>
        <v>399.76</v>
      </c>
      <c r="D182" s="652">
        <f t="shared" si="12"/>
        <v>559.66</v>
      </c>
      <c r="E182" s="969">
        <f>IF($E$2=20.5,'S3'!Y182,IF($E$2=21.5,'S3'!Z182,IF($E$2=22.5,'S3'!AA182,IF($E$2=23.5,'S3'!AB182,IF($E$2=24.5,'S3'!AC182,IF($E$2=25.5,'S3'!AD182,IF($E$2=26.5,'S3'!AE182,IF($E$2=27.5,'S3'!AF182,IF($E$2=28.5,'S3'!AG182,IF($E$2=29.5,'S3'!AH182,IF($E$2=30.5,'S3'!AI182,IF($E$2=31.5,'S3'!AJ182))))))))))))</f>
        <v>245.52</v>
      </c>
      <c r="F182" s="652">
        <f t="shared" si="11"/>
        <v>343.73</v>
      </c>
      <c r="BI182"/>
      <c r="BJ182"/>
      <c r="BK182"/>
      <c r="BL182"/>
      <c r="BM182"/>
      <c r="BN182"/>
      <c r="BO182"/>
      <c r="BP182"/>
      <c r="BQ182"/>
      <c r="BR182"/>
      <c r="BS182"/>
      <c r="BT182"/>
      <c r="BU182"/>
    </row>
    <row r="183" spans="2:73" ht="21.75">
      <c r="B183" s="646">
        <v>179</v>
      </c>
      <c r="C183" s="652">
        <f>IF($C$2=20.5,'S3'!A183,IF($C$2=21.5,'S3'!B183,IF($C$2=22.5,'S3'!C183,IF($C$2=23.5,'S3'!D183,IF($C$2=24.5,'S3'!E183,IF($C$2=25.5,'S3'!F183,IF($C$2=26.5,'S3'!G183,IF($C$2=27.5,'S3'!H183,IF($C$2=28.5,'S3'!I183,IF($C$2=29.5,'S3'!J183,IF($C$2=30.5,'S3'!K183,IF($C$2=31.5,'S3'!L183))))))))))))</f>
        <v>402.09</v>
      </c>
      <c r="D183" s="652">
        <f t="shared" si="12"/>
        <v>562.92999999999995</v>
      </c>
      <c r="E183" s="969">
        <f>IF($E$2=20.5,'S3'!Y183,IF($E$2=21.5,'S3'!Z183,IF($E$2=22.5,'S3'!AA183,IF($E$2=23.5,'S3'!AB183,IF($E$2=24.5,'S3'!AC183,IF($E$2=25.5,'S3'!AD183,IF($E$2=26.5,'S3'!AE183,IF($E$2=27.5,'S3'!AF183,IF($E$2=28.5,'S3'!AG183,IF($E$2=29.5,'S3'!AH183,IF($E$2=30.5,'S3'!AI183,IF($E$2=31.5,'S3'!AJ183))))))))))))</f>
        <v>246.78</v>
      </c>
      <c r="F183" s="652">
        <f t="shared" si="11"/>
        <v>345.49</v>
      </c>
      <c r="BI183"/>
      <c r="BJ183"/>
      <c r="BK183"/>
      <c r="BL183"/>
      <c r="BM183"/>
      <c r="BN183"/>
      <c r="BO183"/>
      <c r="BP183"/>
      <c r="BQ183"/>
      <c r="BR183"/>
      <c r="BS183"/>
      <c r="BT183"/>
      <c r="BU183"/>
    </row>
    <row r="184" spans="2:73" ht="21.75">
      <c r="B184" s="646">
        <v>180</v>
      </c>
      <c r="C184" s="652">
        <f>IF($C$2=20.5,'S3'!A184,IF($C$2=21.5,'S3'!B184,IF($C$2=22.5,'S3'!C184,IF($C$2=23.5,'S3'!D184,IF($C$2=24.5,'S3'!E184,IF($C$2=25.5,'S3'!F184,IF($C$2=26.5,'S3'!G184,IF($C$2=27.5,'S3'!H184,IF($C$2=28.5,'S3'!I184,IF($C$2=29.5,'S3'!J184,IF($C$2=30.5,'S3'!K184,IF($C$2=31.5,'S3'!L184))))))))))))</f>
        <v>404.42</v>
      </c>
      <c r="D184" s="652">
        <f t="shared" si="12"/>
        <v>566.19000000000005</v>
      </c>
      <c r="E184" s="969">
        <f>IF($E$2=20.5,'S3'!Y184,IF($E$2=21.5,'S3'!Z184,IF($E$2=22.5,'S3'!AA184,IF($E$2=23.5,'S3'!AB184,IF($E$2=24.5,'S3'!AC184,IF($E$2=25.5,'S3'!AD184,IF($E$2=26.5,'S3'!AE184,IF($E$2=27.5,'S3'!AF184,IF($E$2=28.5,'S3'!AG184,IF($E$2=29.5,'S3'!AH184,IF($E$2=30.5,'S3'!AI184,IF($E$2=31.5,'S3'!AJ184))))))))))))</f>
        <v>248.18</v>
      </c>
      <c r="F184" s="652">
        <f t="shared" si="11"/>
        <v>347.45</v>
      </c>
      <c r="BI184"/>
      <c r="BJ184"/>
      <c r="BK184"/>
      <c r="BL184"/>
      <c r="BM184"/>
      <c r="BN184"/>
      <c r="BO184"/>
      <c r="BP184"/>
      <c r="BQ184"/>
      <c r="BR184"/>
      <c r="BS184"/>
      <c r="BT184"/>
      <c r="BU184"/>
    </row>
    <row r="185" spans="2:73" ht="21.75">
      <c r="B185" s="646">
        <v>181</v>
      </c>
      <c r="C185" s="652">
        <f>IF($C$2=20.5,'S3'!A185,IF($C$2=21.5,'S3'!B185,IF($C$2=22.5,'S3'!C185,IF($C$2=23.5,'S3'!D185,IF($C$2=24.5,'S3'!E185,IF($C$2=25.5,'S3'!F185,IF($C$2=26.5,'S3'!G185,IF($C$2=27.5,'S3'!H185,IF($C$2=28.5,'S3'!I185,IF($C$2=29.5,'S3'!J185,IF($C$2=30.5,'S3'!K185,IF($C$2=31.5,'S3'!L185))))))))))))</f>
        <v>406.76</v>
      </c>
      <c r="D185" s="652">
        <f t="shared" si="12"/>
        <v>569.46</v>
      </c>
      <c r="E185" s="969">
        <f>IF($E$2=20.5,'S3'!Y185,IF($E$2=21.5,'S3'!Z185,IF($E$2=22.5,'S3'!AA185,IF($E$2=23.5,'S3'!AB185,IF($E$2=24.5,'S3'!AC185,IF($E$2=25.5,'S3'!AD185,IF($E$2=26.5,'S3'!AE185,IF($E$2=27.5,'S3'!AF185,IF($E$2=28.5,'S3'!AG185,IF($E$2=29.5,'S3'!AH185,IF($E$2=30.5,'S3'!AI185,IF($E$2=31.5,'S3'!AJ185))))))))))))</f>
        <v>249.59</v>
      </c>
      <c r="F185" s="652">
        <f t="shared" si="11"/>
        <v>349.43</v>
      </c>
      <c r="BI185"/>
      <c r="BJ185"/>
      <c r="BK185"/>
      <c r="BL185"/>
      <c r="BM185"/>
      <c r="BN185"/>
      <c r="BO185"/>
      <c r="BP185"/>
      <c r="BQ185"/>
      <c r="BR185"/>
      <c r="BS185"/>
      <c r="BT185"/>
      <c r="BU185"/>
    </row>
    <row r="186" spans="2:73" ht="21.75">
      <c r="B186" s="646">
        <v>182</v>
      </c>
      <c r="C186" s="652">
        <f>IF($C$2=20.5,'S3'!A186,IF($C$2=21.5,'S3'!B186,IF($C$2=22.5,'S3'!C186,IF($C$2=23.5,'S3'!D186,IF($C$2=24.5,'S3'!E186,IF($C$2=25.5,'S3'!F186,IF($C$2=26.5,'S3'!G186,IF($C$2=27.5,'S3'!H186,IF($C$2=28.5,'S3'!I186,IF($C$2=29.5,'S3'!J186,IF($C$2=30.5,'S3'!K186,IF($C$2=31.5,'S3'!L186))))))))))))</f>
        <v>409.11</v>
      </c>
      <c r="D186" s="652">
        <f t="shared" si="12"/>
        <v>572.75</v>
      </c>
      <c r="E186" s="969">
        <f>IF($E$2=20.5,'S3'!Y186,IF($E$2=21.5,'S3'!Z186,IF($E$2=22.5,'S3'!AA186,IF($E$2=23.5,'S3'!AB186,IF($E$2=24.5,'S3'!AC186,IF($E$2=25.5,'S3'!AD186,IF($E$2=26.5,'S3'!AE186,IF($E$2=27.5,'S3'!AF186,IF($E$2=28.5,'S3'!AG186,IF($E$2=29.5,'S3'!AH186,IF($E$2=30.5,'S3'!AI186,IF($E$2=31.5,'S3'!AJ186))))))))))))</f>
        <v>251</v>
      </c>
      <c r="F186" s="652">
        <f t="shared" si="11"/>
        <v>351.4</v>
      </c>
      <c r="BI186"/>
      <c r="BJ186"/>
      <c r="BK186"/>
      <c r="BL186"/>
      <c r="BM186"/>
      <c r="BN186"/>
      <c r="BO186"/>
      <c r="BP186"/>
      <c r="BQ186"/>
      <c r="BR186"/>
      <c r="BS186"/>
      <c r="BT186"/>
      <c r="BU186"/>
    </row>
    <row r="187" spans="2:73" ht="21.75">
      <c r="B187" s="646">
        <v>183</v>
      </c>
      <c r="C187" s="652">
        <f>IF($C$2=20.5,'S3'!A187,IF($C$2=21.5,'S3'!B187,IF($C$2=22.5,'S3'!C187,IF($C$2=23.5,'S3'!D187,IF($C$2=24.5,'S3'!E187,IF($C$2=25.5,'S3'!F187,IF($C$2=26.5,'S3'!G187,IF($C$2=27.5,'S3'!H187,IF($C$2=28.5,'S3'!I187,IF($C$2=29.5,'S3'!J187,IF($C$2=30.5,'S3'!K187,IF($C$2=31.5,'S3'!L187))))))))))))</f>
        <v>411.46</v>
      </c>
      <c r="D187" s="652">
        <f t="shared" si="12"/>
        <v>576.04</v>
      </c>
      <c r="E187" s="969">
        <f>IF($E$2=20.5,'S3'!Y187,IF($E$2=21.5,'S3'!Z187,IF($E$2=22.5,'S3'!AA187,IF($E$2=23.5,'S3'!AB187,IF($E$2=24.5,'S3'!AC187,IF($E$2=25.5,'S3'!AD187,IF($E$2=26.5,'S3'!AE187,IF($E$2=27.5,'S3'!AF187,IF($E$2=28.5,'S3'!AG187,IF($E$2=29.5,'S3'!AH187,IF($E$2=30.5,'S3'!AI187,IF($E$2=31.5,'S3'!AJ187))))))))))))</f>
        <v>252.4</v>
      </c>
      <c r="F187" s="652">
        <f t="shared" si="11"/>
        <v>353.36</v>
      </c>
      <c r="BI187"/>
      <c r="BJ187"/>
      <c r="BK187"/>
      <c r="BL187"/>
      <c r="BM187"/>
      <c r="BN187"/>
      <c r="BO187"/>
      <c r="BP187"/>
      <c r="BQ187"/>
      <c r="BR187"/>
      <c r="BS187"/>
      <c r="BT187"/>
      <c r="BU187"/>
    </row>
    <row r="188" spans="2:73" ht="21.75">
      <c r="B188" s="646">
        <v>184</v>
      </c>
      <c r="C188" s="652">
        <f>IF($C$2=20.5,'S3'!A188,IF($C$2=21.5,'S3'!B188,IF($C$2=22.5,'S3'!C188,IF($C$2=23.5,'S3'!D188,IF($C$2=24.5,'S3'!E188,IF($C$2=25.5,'S3'!F188,IF($C$2=26.5,'S3'!G188,IF($C$2=27.5,'S3'!H188,IF($C$2=28.5,'S3'!I188,IF($C$2=29.5,'S3'!J188,IF($C$2=30.5,'S3'!K188,IF($C$2=31.5,'S3'!L188))))))))))))</f>
        <v>413.26</v>
      </c>
      <c r="D188" s="652">
        <f t="shared" si="12"/>
        <v>578.55999999999995</v>
      </c>
      <c r="E188" s="969">
        <f>IF($E$2=20.5,'S3'!Y188,IF($E$2=21.5,'S3'!Z188,IF($E$2=22.5,'S3'!AA188,IF($E$2=23.5,'S3'!AB188,IF($E$2=24.5,'S3'!AC188,IF($E$2=25.5,'S3'!AD188,IF($E$2=26.5,'S3'!AE188,IF($E$2=27.5,'S3'!AF188,IF($E$2=28.5,'S3'!AG188,IF($E$2=29.5,'S3'!AH188,IF($E$2=30.5,'S3'!AI188,IF($E$2=31.5,'S3'!AJ188))))))))))))</f>
        <v>253.67</v>
      </c>
      <c r="F188" s="652">
        <f t="shared" si="11"/>
        <v>355.14</v>
      </c>
      <c r="BI188"/>
      <c r="BJ188"/>
      <c r="BK188"/>
      <c r="BL188"/>
      <c r="BM188"/>
      <c r="BN188"/>
      <c r="BO188"/>
      <c r="BP188"/>
      <c r="BQ188"/>
      <c r="BR188"/>
      <c r="BS188"/>
      <c r="BT188"/>
      <c r="BU188"/>
    </row>
    <row r="189" spans="2:73" ht="21.75">
      <c r="B189" s="646">
        <v>185</v>
      </c>
      <c r="C189" s="652">
        <f>IF($C$2=20.5,'S3'!A189,IF($C$2=21.5,'S3'!B189,IF($C$2=22.5,'S3'!C189,IF($C$2=23.5,'S3'!D189,IF($C$2=24.5,'S3'!E189,IF($C$2=25.5,'S3'!F189,IF($C$2=26.5,'S3'!G189,IF($C$2=27.5,'S3'!H189,IF($C$2=28.5,'S3'!I189,IF($C$2=29.5,'S3'!J189,IF($C$2=30.5,'S3'!K189,IF($C$2=31.5,'S3'!L189))))))))))))</f>
        <v>415.62</v>
      </c>
      <c r="D189" s="652">
        <f t="shared" si="12"/>
        <v>581.87</v>
      </c>
      <c r="E189" s="969">
        <f>IF($E$2=20.5,'S3'!Y189,IF($E$2=21.5,'S3'!Z189,IF($E$2=22.5,'S3'!AA189,IF($E$2=23.5,'S3'!AB189,IF($E$2=24.5,'S3'!AC189,IF($E$2=25.5,'S3'!AD189,IF($E$2=26.5,'S3'!AE189,IF($E$2=27.5,'S3'!AF189,IF($E$2=28.5,'S3'!AG189,IF($E$2=29.5,'S3'!AH189,IF($E$2=30.5,'S3'!AI189,IF($E$2=31.5,'S3'!AJ189))))))))))))</f>
        <v>255.08</v>
      </c>
      <c r="F189" s="652">
        <f t="shared" si="11"/>
        <v>357.11</v>
      </c>
      <c r="BI189"/>
      <c r="BJ189"/>
      <c r="BK189"/>
      <c r="BL189"/>
      <c r="BM189"/>
      <c r="BN189"/>
      <c r="BO189"/>
      <c r="BP189"/>
      <c r="BQ189"/>
      <c r="BR189"/>
      <c r="BS189"/>
      <c r="BT189"/>
      <c r="BU189"/>
    </row>
    <row r="190" spans="2:73" ht="21.75">
      <c r="B190" s="646">
        <v>186</v>
      </c>
      <c r="C190" s="652">
        <f>IF($C$2=20.5,'S3'!A190,IF($C$2=21.5,'S3'!B190,IF($C$2=22.5,'S3'!C190,IF($C$2=23.5,'S3'!D190,IF($C$2=24.5,'S3'!E190,IF($C$2=25.5,'S3'!F190,IF($C$2=26.5,'S3'!G190,IF($C$2=27.5,'S3'!H190,IF($C$2=28.5,'S3'!I190,IF($C$2=29.5,'S3'!J190,IF($C$2=30.5,'S3'!K190,IF($C$2=31.5,'S3'!L190))))))))))))</f>
        <v>418</v>
      </c>
      <c r="D190" s="652">
        <f t="shared" si="12"/>
        <v>585.20000000000005</v>
      </c>
      <c r="E190" s="969">
        <f>IF($E$2=20.5,'S3'!Y190,IF($E$2=21.5,'S3'!Z190,IF($E$2=22.5,'S3'!AA190,IF($E$2=23.5,'S3'!AB190,IF($E$2=24.5,'S3'!AC190,IF($E$2=25.5,'S3'!AD190,IF($E$2=26.5,'S3'!AE190,IF($E$2=27.5,'S3'!AF190,IF($E$2=28.5,'S3'!AG190,IF($E$2=29.5,'S3'!AH190,IF($E$2=30.5,'S3'!AI190,IF($E$2=31.5,'S3'!AJ190))))))))))))</f>
        <v>256.49</v>
      </c>
      <c r="F190" s="652">
        <f t="shared" si="11"/>
        <v>359.09</v>
      </c>
      <c r="BI190"/>
      <c r="BJ190"/>
      <c r="BK190"/>
      <c r="BL190"/>
      <c r="BM190"/>
      <c r="BN190"/>
      <c r="BO190"/>
      <c r="BP190"/>
      <c r="BQ190"/>
      <c r="BR190"/>
      <c r="BS190"/>
      <c r="BT190"/>
      <c r="BU190"/>
    </row>
    <row r="191" spans="2:73" ht="21.75">
      <c r="B191" s="646">
        <v>187</v>
      </c>
      <c r="C191" s="652">
        <f>IF($C$2=20.5,'S3'!A191,IF($C$2=21.5,'S3'!B191,IF($C$2=22.5,'S3'!C191,IF($C$2=23.5,'S3'!D191,IF($C$2=24.5,'S3'!E191,IF($C$2=25.5,'S3'!F191,IF($C$2=26.5,'S3'!G191,IF($C$2=27.5,'S3'!H191,IF($C$2=28.5,'S3'!I191,IF($C$2=29.5,'S3'!J191,IF($C$2=30.5,'S3'!K191,IF($C$2=31.5,'S3'!L191))))))))))))</f>
        <v>420.37</v>
      </c>
      <c r="D191" s="652">
        <f t="shared" si="12"/>
        <v>588.52</v>
      </c>
      <c r="E191" s="969">
        <f>IF($E$2=20.5,'S3'!Y191,IF($E$2=21.5,'S3'!Z191,IF($E$2=22.5,'S3'!AA191,IF($E$2=23.5,'S3'!AB191,IF($E$2=24.5,'S3'!AC191,IF($E$2=25.5,'S3'!AD191,IF($E$2=26.5,'S3'!AE191,IF($E$2=27.5,'S3'!AF191,IF($E$2=28.5,'S3'!AG191,IF($E$2=29.5,'S3'!AH191,IF($E$2=30.5,'S3'!AI191,IF($E$2=31.5,'S3'!AJ191))))))))))))</f>
        <v>257.91000000000003</v>
      </c>
      <c r="F191" s="652">
        <f t="shared" si="11"/>
        <v>361.07</v>
      </c>
      <c r="BI191"/>
      <c r="BJ191"/>
      <c r="BK191"/>
      <c r="BL191"/>
      <c r="BM191"/>
      <c r="BN191"/>
      <c r="BO191"/>
      <c r="BP191"/>
      <c r="BQ191"/>
      <c r="BR191"/>
      <c r="BS191"/>
      <c r="BT191"/>
      <c r="BU191"/>
    </row>
    <row r="192" spans="2:73" ht="21.75">
      <c r="B192" s="646">
        <v>188</v>
      </c>
      <c r="C192" s="652">
        <f>IF($C$2=20.5,'S3'!A192,IF($C$2=21.5,'S3'!B192,IF($C$2=22.5,'S3'!C192,IF($C$2=23.5,'S3'!D192,IF($C$2=24.5,'S3'!E192,IF($C$2=25.5,'S3'!F192,IF($C$2=26.5,'S3'!G192,IF($C$2=27.5,'S3'!H192,IF($C$2=28.5,'S3'!I192,IF($C$2=29.5,'S3'!J192,IF($C$2=30.5,'S3'!K192,IF($C$2=31.5,'S3'!L192))))))))))))</f>
        <v>422.17</v>
      </c>
      <c r="D192" s="652">
        <f t="shared" si="12"/>
        <v>591.04</v>
      </c>
      <c r="E192" s="969">
        <f>IF($E$2=20.5,'S3'!Y192,IF($E$2=21.5,'S3'!Z192,IF($E$2=22.5,'S3'!AA192,IF($E$2=23.5,'S3'!AB192,IF($E$2=24.5,'S3'!AC192,IF($E$2=25.5,'S3'!AD192,IF($E$2=26.5,'S3'!AE192,IF($E$2=27.5,'S3'!AF192,IF($E$2=28.5,'S3'!AG192,IF($E$2=29.5,'S3'!AH192,IF($E$2=30.5,'S3'!AI192,IF($E$2=31.5,'S3'!AJ192))))))))))))</f>
        <v>259.17</v>
      </c>
      <c r="F192" s="652">
        <f t="shared" si="11"/>
        <v>362.84</v>
      </c>
      <c r="BI192"/>
      <c r="BJ192"/>
      <c r="BK192"/>
      <c r="BL192"/>
      <c r="BM192"/>
      <c r="BN192"/>
      <c r="BO192"/>
      <c r="BP192"/>
      <c r="BQ192"/>
      <c r="BR192"/>
      <c r="BS192"/>
      <c r="BT192"/>
      <c r="BU192"/>
    </row>
    <row r="193" spans="2:73" ht="21.75">
      <c r="B193" s="646">
        <v>189</v>
      </c>
      <c r="C193" s="652">
        <f>IF($C$2=20.5,'S3'!A193,IF($C$2=21.5,'S3'!B193,IF($C$2=22.5,'S3'!C193,IF($C$2=23.5,'S3'!D193,IF($C$2=24.5,'S3'!E193,IF($C$2=25.5,'S3'!F193,IF($C$2=26.5,'S3'!G193,IF($C$2=27.5,'S3'!H193,IF($C$2=28.5,'S3'!I193,IF($C$2=29.5,'S3'!J193,IF($C$2=30.5,'S3'!K193,IF($C$2=31.5,'S3'!L193))))))))))))</f>
        <v>424.56</v>
      </c>
      <c r="D193" s="652">
        <f t="shared" si="12"/>
        <v>594.38</v>
      </c>
      <c r="E193" s="969">
        <f>IF($E$2=20.5,'S3'!Y193,IF($E$2=21.5,'S3'!Z193,IF($E$2=22.5,'S3'!AA193,IF($E$2=23.5,'S3'!AB193,IF($E$2=24.5,'S3'!AC193,IF($E$2=25.5,'S3'!AD193,IF($E$2=26.5,'S3'!AE193,IF($E$2=27.5,'S3'!AF193,IF($E$2=28.5,'S3'!AG193,IF($E$2=29.5,'S3'!AH193,IF($E$2=30.5,'S3'!AI193,IF($E$2=31.5,'S3'!AJ193))))))))))))</f>
        <v>260.58999999999997</v>
      </c>
      <c r="F193" s="652">
        <f t="shared" si="11"/>
        <v>364.83</v>
      </c>
      <c r="BI193"/>
      <c r="BJ193"/>
      <c r="BK193"/>
      <c r="BL193"/>
      <c r="BM193"/>
      <c r="BN193"/>
      <c r="BO193"/>
      <c r="BP193"/>
      <c r="BQ193"/>
      <c r="BR193"/>
      <c r="BS193"/>
      <c r="BT193"/>
      <c r="BU193"/>
    </row>
    <row r="194" spans="2:73" ht="21.75">
      <c r="B194" s="646">
        <v>190</v>
      </c>
      <c r="C194" s="652">
        <f>IF($C$2=20.5,'S3'!A194,IF($C$2=21.5,'S3'!B194,IF($C$2=22.5,'S3'!C194,IF($C$2=23.5,'S3'!D194,IF($C$2=24.5,'S3'!E194,IF($C$2=25.5,'S3'!F194,IF($C$2=26.5,'S3'!G194,IF($C$2=27.5,'S3'!H194,IF($C$2=28.5,'S3'!I194,IF($C$2=29.5,'S3'!J194,IF($C$2=30.5,'S3'!K194,IF($C$2=31.5,'S3'!L194))))))))))))</f>
        <v>426.95</v>
      </c>
      <c r="D194" s="652">
        <f t="shared" si="12"/>
        <v>597.73</v>
      </c>
      <c r="E194" s="969">
        <f>IF($E$2=20.5,'S3'!Y194,IF($E$2=21.5,'S3'!Z194,IF($E$2=22.5,'S3'!AA194,IF($E$2=23.5,'S3'!AB194,IF($E$2=24.5,'S3'!AC194,IF($E$2=25.5,'S3'!AD194,IF($E$2=26.5,'S3'!AE194,IF($E$2=27.5,'S3'!AF194,IF($E$2=28.5,'S3'!AG194,IF($E$2=29.5,'S3'!AH194,IF($E$2=30.5,'S3'!AI194,IF($E$2=31.5,'S3'!AJ194))))))))))))</f>
        <v>262</v>
      </c>
      <c r="F194" s="652">
        <f t="shared" si="11"/>
        <v>366.8</v>
      </c>
      <c r="BI194"/>
      <c r="BJ194"/>
      <c r="BK194"/>
      <c r="BL194"/>
      <c r="BM194"/>
      <c r="BN194"/>
      <c r="BO194"/>
      <c r="BP194"/>
      <c r="BQ194"/>
      <c r="BR194"/>
      <c r="BS194"/>
      <c r="BT194"/>
      <c r="BU194"/>
    </row>
    <row r="195" spans="2:73" ht="21.75">
      <c r="B195" s="646">
        <v>191</v>
      </c>
      <c r="C195" s="652">
        <f>IF($C$2=20.5,'S3'!A195,IF($C$2=21.5,'S3'!B195,IF($C$2=22.5,'S3'!C195,IF($C$2=23.5,'S3'!D195,IF($C$2=24.5,'S3'!E195,IF($C$2=25.5,'S3'!F195,IF($C$2=26.5,'S3'!G195,IF($C$2=27.5,'S3'!H195,IF($C$2=28.5,'S3'!I195,IF($C$2=29.5,'S3'!J195,IF($C$2=30.5,'S3'!K195,IF($C$2=31.5,'S3'!L195))))))))))))</f>
        <v>429.36</v>
      </c>
      <c r="D195" s="652">
        <f t="shared" si="12"/>
        <v>601.1</v>
      </c>
      <c r="E195" s="969">
        <f>IF($E$2=20.5,'S3'!Y195,IF($E$2=21.5,'S3'!Z195,IF($E$2=22.5,'S3'!AA195,IF($E$2=23.5,'S3'!AB195,IF($E$2=24.5,'S3'!AC195,IF($E$2=25.5,'S3'!AD195,IF($E$2=26.5,'S3'!AE195,IF($E$2=27.5,'S3'!AF195,IF($E$2=28.5,'S3'!AG195,IF($E$2=29.5,'S3'!AH195,IF($E$2=30.5,'S3'!AI195,IF($E$2=31.5,'S3'!AJ195))))))))))))</f>
        <v>263.43</v>
      </c>
      <c r="F195" s="652">
        <f t="shared" si="11"/>
        <v>368.8</v>
      </c>
      <c r="BI195"/>
      <c r="BJ195"/>
      <c r="BK195"/>
      <c r="BL195"/>
      <c r="BM195"/>
      <c r="BN195"/>
      <c r="BO195"/>
      <c r="BP195"/>
      <c r="BQ195"/>
      <c r="BR195"/>
      <c r="BS195"/>
      <c r="BT195"/>
      <c r="BU195"/>
    </row>
    <row r="196" spans="2:73" ht="21.75">
      <c r="B196" s="646">
        <v>192</v>
      </c>
      <c r="C196" s="652">
        <f>IF($C$2=20.5,'S3'!A196,IF($C$2=21.5,'S3'!B196,IF($C$2=22.5,'S3'!C196,IF($C$2=23.5,'S3'!D196,IF($C$2=24.5,'S3'!E196,IF($C$2=25.5,'S3'!F196,IF($C$2=26.5,'S3'!G196,IF($C$2=27.5,'S3'!H196,IF($C$2=28.5,'S3'!I196,IF($C$2=29.5,'S3'!J196,IF($C$2=30.5,'S3'!K196,IF($C$2=31.5,'S3'!L196))))))))))))</f>
        <v>431.15</v>
      </c>
      <c r="D196" s="652">
        <f t="shared" si="12"/>
        <v>603.61</v>
      </c>
      <c r="E196" s="969">
        <f>IF($E$2=20.5,'S3'!Y196,IF($E$2=21.5,'S3'!Z196,IF($E$2=22.5,'S3'!AA196,IF($E$2=23.5,'S3'!AB196,IF($E$2=24.5,'S3'!AC196,IF($E$2=25.5,'S3'!AD196,IF($E$2=26.5,'S3'!AE196,IF($E$2=27.5,'S3'!AF196,IF($E$2=28.5,'S3'!AG196,IF($E$2=29.5,'S3'!AH196,IF($E$2=30.5,'S3'!AI196,IF($E$2=31.5,'S3'!AJ196))))))))))))</f>
        <v>264.69</v>
      </c>
      <c r="F196" s="652">
        <f t="shared" si="11"/>
        <v>370.57</v>
      </c>
      <c r="BI196"/>
      <c r="BJ196"/>
      <c r="BK196"/>
      <c r="BL196"/>
      <c r="BM196"/>
      <c r="BN196"/>
      <c r="BO196"/>
      <c r="BP196"/>
      <c r="BQ196"/>
      <c r="BR196"/>
      <c r="BS196"/>
      <c r="BT196"/>
      <c r="BU196"/>
    </row>
    <row r="197" spans="2:73" ht="21.75">
      <c r="B197" s="646">
        <v>193</v>
      </c>
      <c r="C197" s="652">
        <f>IF($C$2=20.5,'S3'!A197,IF($C$2=21.5,'S3'!B197,IF($C$2=22.5,'S3'!C197,IF($C$2=23.5,'S3'!D197,IF($C$2=24.5,'S3'!E197,IF($C$2=25.5,'S3'!F197,IF($C$2=26.5,'S3'!G197,IF($C$2=27.5,'S3'!H197,IF($C$2=28.5,'S3'!I197,IF($C$2=29.5,'S3'!J197,IF($C$2=30.5,'S3'!K197,IF($C$2=31.5,'S3'!L197))))))))))))</f>
        <v>433.57</v>
      </c>
      <c r="D197" s="652">
        <f t="shared" si="12"/>
        <v>607</v>
      </c>
      <c r="E197" s="969">
        <f>IF($E$2=20.5,'S3'!Y197,IF($E$2=21.5,'S3'!Z197,IF($E$2=22.5,'S3'!AA197,IF($E$2=23.5,'S3'!AB197,IF($E$2=24.5,'S3'!AC197,IF($E$2=25.5,'S3'!AD197,IF($E$2=26.5,'S3'!AE197,IF($E$2=27.5,'S3'!AF197,IF($E$2=28.5,'S3'!AG197,IF($E$2=29.5,'S3'!AH197,IF($E$2=30.5,'S3'!AI197,IF($E$2=31.5,'S3'!AJ197))))))))))))</f>
        <v>266.11</v>
      </c>
      <c r="F197" s="652">
        <f t="shared" si="11"/>
        <v>372.55</v>
      </c>
      <c r="BI197"/>
      <c r="BJ197"/>
      <c r="BK197"/>
      <c r="BL197"/>
      <c r="BM197"/>
      <c r="BN197"/>
      <c r="BO197"/>
      <c r="BP197"/>
      <c r="BQ197"/>
      <c r="BR197"/>
      <c r="BS197"/>
      <c r="BT197"/>
      <c r="BU197"/>
    </row>
    <row r="198" spans="2:73" ht="21.75">
      <c r="B198" s="646">
        <v>194</v>
      </c>
      <c r="C198" s="652">
        <f>IF($C$2=20.5,'S3'!A198,IF($C$2=21.5,'S3'!B198,IF($C$2=22.5,'S3'!C198,IF($C$2=23.5,'S3'!D198,IF($C$2=24.5,'S3'!E198,IF($C$2=25.5,'S3'!F198,IF($C$2=26.5,'S3'!G198,IF($C$2=27.5,'S3'!H198,IF($C$2=28.5,'S3'!I198,IF($C$2=29.5,'S3'!J198,IF($C$2=30.5,'S3'!K198,IF($C$2=31.5,'S3'!L198))))))))))))</f>
        <v>435.99</v>
      </c>
      <c r="D198" s="652">
        <f t="shared" si="12"/>
        <v>610.39</v>
      </c>
      <c r="E198" s="969">
        <f>IF($E$2=20.5,'S3'!Y198,IF($E$2=21.5,'S3'!Z198,IF($E$2=22.5,'S3'!AA198,IF($E$2=23.5,'S3'!AB198,IF($E$2=24.5,'S3'!AC198,IF($E$2=25.5,'S3'!AD198,IF($E$2=26.5,'S3'!AE198,IF($E$2=27.5,'S3'!AF198,IF($E$2=28.5,'S3'!AG198,IF($E$2=29.5,'S3'!AH198,IF($E$2=30.5,'S3'!AI198,IF($E$2=31.5,'S3'!AJ198))))))))))))</f>
        <v>267.54000000000002</v>
      </c>
      <c r="F198" s="652">
        <f t="shared" ref="F198:F204" si="13">ROUND(E198*1.4,2)</f>
        <v>374.56</v>
      </c>
      <c r="BI198"/>
      <c r="BJ198"/>
      <c r="BK198"/>
      <c r="BL198"/>
      <c r="BM198"/>
      <c r="BN198"/>
      <c r="BO198"/>
      <c r="BP198"/>
      <c r="BQ198"/>
      <c r="BR198"/>
      <c r="BS198"/>
      <c r="BT198"/>
      <c r="BU198"/>
    </row>
    <row r="199" spans="2:73" ht="21.75">
      <c r="B199" s="646">
        <v>195</v>
      </c>
      <c r="C199" s="652">
        <f>IF($C$2=20.5,'S3'!A199,IF($C$2=21.5,'S3'!B199,IF($C$2=22.5,'S3'!C199,IF($C$2=23.5,'S3'!D199,IF($C$2=24.5,'S3'!E199,IF($C$2=25.5,'S3'!F199,IF($C$2=26.5,'S3'!G199,IF($C$2=27.5,'S3'!H199,IF($C$2=28.5,'S3'!I199,IF($C$2=29.5,'S3'!J199,IF($C$2=30.5,'S3'!K199,IF($C$2=31.5,'S3'!L199))))))))))))</f>
        <v>438.42</v>
      </c>
      <c r="D199" s="652">
        <f t="shared" ref="D199:D204" si="14">ROUND(C199*1.4,2)</f>
        <v>613.79</v>
      </c>
      <c r="E199" s="969">
        <f>IF($E$2=20.5,'S3'!Y199,IF($E$2=21.5,'S3'!Z199,IF($E$2=22.5,'S3'!AA199,IF($E$2=23.5,'S3'!AB199,IF($E$2=24.5,'S3'!AC199,IF($E$2=25.5,'S3'!AD199,IF($E$2=26.5,'S3'!AE199,IF($E$2=27.5,'S3'!AF199,IF($E$2=28.5,'S3'!AG199,IF($E$2=29.5,'S3'!AH199,IF($E$2=30.5,'S3'!AI199,IF($E$2=31.5,'S3'!AJ199))))))))))))</f>
        <v>268.8</v>
      </c>
      <c r="F199" s="652">
        <f t="shared" si="13"/>
        <v>376.32</v>
      </c>
      <c r="BI199"/>
      <c r="BJ199"/>
      <c r="BK199"/>
      <c r="BL199"/>
      <c r="BM199"/>
      <c r="BN199"/>
      <c r="BO199"/>
      <c r="BP199"/>
      <c r="BQ199"/>
      <c r="BR199"/>
      <c r="BS199"/>
      <c r="BT199"/>
      <c r="BU199"/>
    </row>
    <row r="200" spans="2:73" ht="21.75">
      <c r="B200" s="646">
        <v>196</v>
      </c>
      <c r="C200" s="652">
        <f>IF($C$2=20.5,'S3'!A200,IF($C$2=21.5,'S3'!B200,IF($C$2=22.5,'S3'!C200,IF($C$2=23.5,'S3'!D200,IF($C$2=24.5,'S3'!E200,IF($C$2=25.5,'S3'!F200,IF($C$2=26.5,'S3'!G200,IF($C$2=27.5,'S3'!H200,IF($C$2=28.5,'S3'!I200,IF($C$2=29.5,'S3'!J200,IF($C$2=30.5,'S3'!K200,IF($C$2=31.5,'S3'!L200))))))))))))</f>
        <v>440.21</v>
      </c>
      <c r="D200" s="652">
        <f t="shared" si="14"/>
        <v>616.29</v>
      </c>
      <c r="E200" s="969">
        <f>IF($E$2=20.5,'S3'!Y200,IF($E$2=21.5,'S3'!Z200,IF($E$2=22.5,'S3'!AA200,IF($E$2=23.5,'S3'!AB200,IF($E$2=24.5,'S3'!AC200,IF($E$2=25.5,'S3'!AD200,IF($E$2=26.5,'S3'!AE200,IF($E$2=27.5,'S3'!AF200,IF($E$2=28.5,'S3'!AG200,IF($E$2=29.5,'S3'!AH200,IF($E$2=30.5,'S3'!AI200,IF($E$2=31.5,'S3'!AJ200))))))))))))</f>
        <v>270.23</v>
      </c>
      <c r="F200" s="652">
        <f t="shared" si="13"/>
        <v>378.32</v>
      </c>
      <c r="BI200"/>
      <c r="BJ200"/>
      <c r="BK200"/>
      <c r="BL200"/>
      <c r="BM200"/>
      <c r="BN200"/>
      <c r="BO200"/>
      <c r="BP200"/>
      <c r="BQ200"/>
      <c r="BR200"/>
      <c r="BS200"/>
      <c r="BT200"/>
      <c r="BU200"/>
    </row>
    <row r="201" spans="2:73" ht="21.75">
      <c r="B201" s="646">
        <v>197</v>
      </c>
      <c r="C201" s="652">
        <f>IF($C$2=20.5,'S3'!A201,IF($C$2=21.5,'S3'!B201,IF($C$2=22.5,'S3'!C201,IF($C$2=23.5,'S3'!D201,IF($C$2=24.5,'S3'!E201,IF($C$2=25.5,'S3'!F201,IF($C$2=26.5,'S3'!G201,IF($C$2=27.5,'S3'!H201,IF($C$2=28.5,'S3'!I201,IF($C$2=29.5,'S3'!J201,IF($C$2=30.5,'S3'!K201,IF($C$2=31.5,'S3'!L201))))))))))))</f>
        <v>442.65</v>
      </c>
      <c r="D201" s="652">
        <f t="shared" si="14"/>
        <v>619.71</v>
      </c>
      <c r="E201" s="969">
        <f>IF($E$2=20.5,'S3'!Y201,IF($E$2=21.5,'S3'!Z201,IF($E$2=22.5,'S3'!AA201,IF($E$2=23.5,'S3'!AB201,IF($E$2=24.5,'S3'!AC201,IF($E$2=25.5,'S3'!AD201,IF($E$2=26.5,'S3'!AE201,IF($E$2=27.5,'S3'!AF201,IF($E$2=28.5,'S3'!AG201,IF($E$2=29.5,'S3'!AH201,IF($E$2=30.5,'S3'!AI201,IF($E$2=31.5,'S3'!AJ201))))))))))))</f>
        <v>271.66000000000003</v>
      </c>
      <c r="F201" s="652">
        <f t="shared" si="13"/>
        <v>380.32</v>
      </c>
      <c r="BI201"/>
      <c r="BJ201"/>
      <c r="BK201"/>
      <c r="BL201"/>
      <c r="BM201"/>
      <c r="BN201"/>
      <c r="BO201"/>
      <c r="BP201"/>
      <c r="BQ201"/>
      <c r="BR201"/>
      <c r="BS201"/>
      <c r="BT201"/>
      <c r="BU201"/>
    </row>
    <row r="202" spans="2:73" ht="21.75">
      <c r="B202" s="646">
        <v>198</v>
      </c>
      <c r="C202" s="652">
        <f>IF($C$2=20.5,'S3'!A202,IF($C$2=21.5,'S3'!B202,IF($C$2=22.5,'S3'!C202,IF($C$2=23.5,'S3'!D202,IF($C$2=24.5,'S3'!E202,IF($C$2=25.5,'S3'!F202,IF($C$2=26.5,'S3'!G202,IF($C$2=27.5,'S3'!H202,IF($C$2=28.5,'S3'!I202,IF($C$2=29.5,'S3'!J202,IF($C$2=30.5,'S3'!K202,IF($C$2=31.5,'S3'!L202))))))))))))</f>
        <v>445.1</v>
      </c>
      <c r="D202" s="652">
        <f t="shared" si="14"/>
        <v>623.14</v>
      </c>
      <c r="E202" s="969">
        <f>IF($E$2=20.5,'S3'!Y202,IF($E$2=21.5,'S3'!Z202,IF($E$2=22.5,'S3'!AA202,IF($E$2=23.5,'S3'!AB202,IF($E$2=24.5,'S3'!AC202,IF($E$2=25.5,'S3'!AD202,IF($E$2=26.5,'S3'!AE202,IF($E$2=27.5,'S3'!AF202,IF($E$2=28.5,'S3'!AG202,IF($E$2=29.5,'S3'!AH202,IF($E$2=30.5,'S3'!AI202,IF($E$2=31.5,'S3'!AJ202))))))))))))</f>
        <v>272.92</v>
      </c>
      <c r="F202" s="652">
        <f t="shared" si="13"/>
        <v>382.09</v>
      </c>
      <c r="BI202"/>
      <c r="BJ202"/>
      <c r="BK202"/>
      <c r="BL202"/>
      <c r="BM202"/>
      <c r="BN202"/>
      <c r="BO202"/>
      <c r="BP202"/>
      <c r="BQ202"/>
      <c r="BR202"/>
      <c r="BS202"/>
      <c r="BT202"/>
      <c r="BU202"/>
    </row>
    <row r="203" spans="2:73" ht="21.75">
      <c r="B203" s="646">
        <v>199</v>
      </c>
      <c r="C203" s="652">
        <f>IF($C$2=20.5,'S3'!A203,IF($C$2=21.5,'S3'!B203,IF($C$2=22.5,'S3'!C203,IF($C$2=23.5,'S3'!D203,IF($C$2=24.5,'S3'!E203,IF($C$2=25.5,'S3'!F203,IF($C$2=26.5,'S3'!G203,IF($C$2=27.5,'S3'!H203,IF($C$2=28.5,'S3'!I203,IF($C$2=29.5,'S3'!J203,IF($C$2=30.5,'S3'!K203,IF($C$2=31.5,'S3'!L203))))))))))))</f>
        <v>446.9</v>
      </c>
      <c r="D203" s="652">
        <f t="shared" si="14"/>
        <v>625.66</v>
      </c>
      <c r="E203" s="969">
        <f>IF($E$2=20.5,'S3'!Y203,IF($E$2=21.5,'S3'!Z203,IF($E$2=22.5,'S3'!AA203,IF($E$2=23.5,'S3'!AB203,IF($E$2=24.5,'S3'!AC203,IF($E$2=25.5,'S3'!AD203,IF($E$2=26.5,'S3'!AE203,IF($E$2=27.5,'S3'!AF203,IF($E$2=28.5,'S3'!AG203,IF($E$2=29.5,'S3'!AH203,IF($E$2=30.5,'S3'!AI203,IF($E$2=31.5,'S3'!AJ203))))))))))))</f>
        <v>274.36</v>
      </c>
      <c r="F203" s="652">
        <f t="shared" si="13"/>
        <v>384.1</v>
      </c>
      <c r="BI203"/>
      <c r="BJ203"/>
      <c r="BK203"/>
      <c r="BL203"/>
      <c r="BM203"/>
      <c r="BN203"/>
      <c r="BO203"/>
      <c r="BP203"/>
      <c r="BQ203"/>
      <c r="BR203"/>
      <c r="BS203"/>
      <c r="BT203"/>
      <c r="BU203"/>
    </row>
    <row r="204" spans="2:73" ht="22.5" thickBot="1">
      <c r="B204" s="646">
        <v>200</v>
      </c>
      <c r="C204" s="1578">
        <f>IF($C$2=20.5,'S3'!A204,IF($C$2=21.5,'S3'!B204,IF($C$2=22.5,'S3'!C204,IF($C$2=23.5,'S3'!D204,IF($C$2=24.5,'S3'!E204,IF($C$2=25.5,'S3'!F204,IF($C$2=26.5,'S3'!G204,IF($C$2=27.5,'S3'!H204,IF($C$2=28.5,'S3'!I204,IF($C$2=29.5,'S3'!J204,IF($C$2=30.5,'S3'!K204,IF($C$2=31.5,'S3'!L204))))))))))))</f>
        <v>449.36</v>
      </c>
      <c r="D204" s="652">
        <f t="shared" si="14"/>
        <v>629.1</v>
      </c>
      <c r="E204" s="1579">
        <f>IF($E$2=20.5,'S3'!Y204,IF($E$2=21.5,'S3'!Z204,IF($E$2=22.5,'S3'!AA204,IF($E$2=23.5,'S3'!AB204,IF($E$2=24.5,'S3'!AC204,IF($E$2=25.5,'S3'!AD204,IF($E$2=26.5,'S3'!AE204,IF($E$2=27.5,'S3'!AF204,IF($E$2=28.5,'S3'!AG204,IF($E$2=29.5,'S3'!AH204,IF($E$2=30.5,'S3'!AI204,IF($E$2=31.5,'S3'!AJ204))))))))))))</f>
        <v>275.79000000000002</v>
      </c>
      <c r="F204" s="652">
        <f t="shared" si="13"/>
        <v>386.11</v>
      </c>
      <c r="BI204"/>
      <c r="BJ204"/>
      <c r="BK204"/>
      <c r="BL204"/>
      <c r="BM204"/>
      <c r="BN204"/>
      <c r="BO204"/>
      <c r="BP204"/>
      <c r="BQ204"/>
      <c r="BR204"/>
      <c r="BS204"/>
      <c r="BT204"/>
      <c r="BU204"/>
    </row>
    <row r="205" spans="2:73" ht="22.5" thickBot="1">
      <c r="B205" s="1337"/>
      <c r="C205" s="1008">
        <f>IF($C$2=20.5,'S3'!A205,IF($C$2=21.5,'S3'!B205,IF($C$2=22.5,'S3'!C205,IF($C$2=23.5,'S3'!D205,IF($C$2=24.5,'S3'!E205,IF($C$2=25.5,'S3'!F205,IF($C$2=26.5,'S3'!G205,IF($C$2=27.5,'S3'!H205,IF($C$2=28.5,'S3'!I205,IF($C$2=29.5,'S3'!J205,IF($C$2=30.5,'S3'!K205,IF($C$2=31.5,'S3'!L205))))))))))))</f>
        <v>2.25</v>
      </c>
      <c r="D205" s="1006">
        <f>ROUNDDOWN(C205*1.4,2)</f>
        <v>3.15</v>
      </c>
      <c r="E205" s="1007">
        <f>IF($E$2=20.5,'S3'!Y205,IF($E$2=21.5,'S3'!Z205,IF($E$2=22.5,'S3'!AA205,IF($E$2=23.5,'S3'!AB205,IF($E$2=24.5,'S3'!AC205,IF($E$2=25.5,'S3'!AD205,IF($E$2=26.5,'S3'!AE205,IF($E$2=27.5,'S3'!AF205,IF($E$2=28.5,'S3'!AG205,IF($E$2=29.5,'S3'!AH205,IF($E$2=30.5,'S3'!AI205,IF($E$2=31.5,'S3'!AJ205))))))))))))</f>
        <v>1.38</v>
      </c>
      <c r="F205" s="1008">
        <f>ROUNDDOWN(E205*1.4,2)</f>
        <v>1.93</v>
      </c>
      <c r="BI205"/>
      <c r="BJ205"/>
      <c r="BK205"/>
      <c r="BL205"/>
      <c r="BM205"/>
      <c r="BN205"/>
      <c r="BO205"/>
      <c r="BP205"/>
      <c r="BQ205"/>
      <c r="BR205"/>
      <c r="BS205"/>
      <c r="BT205"/>
      <c r="BU205"/>
    </row>
    <row r="206" spans="2:73">
      <c r="B206" s="716"/>
      <c r="C206" s="717"/>
      <c r="D206" s="716"/>
      <c r="E206" s="716"/>
    </row>
    <row r="207" spans="2:73">
      <c r="B207" s="716"/>
      <c r="C207" s="717"/>
      <c r="D207" s="716"/>
      <c r="E207" s="716"/>
    </row>
    <row r="208" spans="2:73">
      <c r="B208" s="716"/>
      <c r="C208" s="717"/>
      <c r="D208" s="716"/>
      <c r="E208" s="716"/>
    </row>
  </sheetData>
  <mergeCells count="30">
    <mergeCell ref="BI24:BL24"/>
    <mergeCell ref="BM24:BO25"/>
    <mergeCell ref="BJ29:BJ31"/>
    <mergeCell ref="BK29:BK31"/>
    <mergeCell ref="J2:K2"/>
    <mergeCell ref="L2:M2"/>
    <mergeCell ref="N2:O2"/>
    <mergeCell ref="P2:Q2"/>
    <mergeCell ref="AD2:AE2"/>
    <mergeCell ref="AF2:AG2"/>
    <mergeCell ref="AL2:AM2"/>
    <mergeCell ref="V2:W2"/>
    <mergeCell ref="R2:S2"/>
    <mergeCell ref="T2:U2"/>
    <mergeCell ref="BF2:BF3"/>
    <mergeCell ref="H2:H3"/>
    <mergeCell ref="E1:F1"/>
    <mergeCell ref="BB2:BC2"/>
    <mergeCell ref="AT2:AU2"/>
    <mergeCell ref="Z2:AA2"/>
    <mergeCell ref="AR2:AS2"/>
    <mergeCell ref="AH2:AI2"/>
    <mergeCell ref="AN2:AO2"/>
    <mergeCell ref="AV2:AW2"/>
    <mergeCell ref="AX2:AY2"/>
    <mergeCell ref="AZ2:BA2"/>
    <mergeCell ref="X2:Y2"/>
    <mergeCell ref="AP2:AQ2"/>
    <mergeCell ref="AJ2:AK2"/>
    <mergeCell ref="AB2:AC2"/>
  </mergeCells>
  <phoneticPr fontId="0" type="noConversion"/>
  <pageMargins left="0.35433070866141736" right="0.35433070866141736" top="0.39370078740157483" bottom="0.39370078740157483" header="0.51181102362204722" footer="0.51181102362204722"/>
  <pageSetup paperSize="9" scale="85" orientation="portrait" horizontalDpi="4294967292" r:id="rId1"/>
  <headerFooter alignWithMargins="0"/>
  <ignoredErrors>
    <ignoredError sqref="F93" evalError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AV209"/>
  <sheetViews>
    <sheetView topLeftCell="U194" workbookViewId="0">
      <selection activeCell="AE204" sqref="AE100:AF204"/>
    </sheetView>
  </sheetViews>
  <sheetFormatPr defaultColWidth="9.140625" defaultRowHeight="21.75"/>
  <cols>
    <col min="1" max="1" width="10.85546875" style="1935" bestFit="1" customWidth="1"/>
    <col min="2" max="2" width="10.7109375" style="1939" bestFit="1" customWidth="1"/>
    <col min="3" max="3" width="9.85546875" style="1939" bestFit="1" customWidth="1"/>
    <col min="4" max="5" width="9.140625" style="1939"/>
    <col min="6" max="23" width="9.140625" style="171" customWidth="1"/>
    <col min="24" max="25" width="9.140625" style="171"/>
    <col min="26" max="26" width="9.85546875" style="171" bestFit="1" customWidth="1"/>
    <col min="27" max="27" width="9.140625" style="905"/>
    <col min="28" max="33" width="9.140625" style="171"/>
    <col min="34" max="34" width="9.28515625" style="171" bestFit="1" customWidth="1"/>
    <col min="35" max="16384" width="9.140625" style="171"/>
  </cols>
  <sheetData>
    <row r="1" spans="1:48" ht="24.75" thickBot="1">
      <c r="A1" s="1936" t="s">
        <v>1276</v>
      </c>
      <c r="B1" s="1936"/>
      <c r="C1" s="2391"/>
      <c r="D1" s="1936"/>
      <c r="E1" s="1962"/>
      <c r="F1" s="958"/>
      <c r="G1" s="958"/>
      <c r="H1" s="958"/>
      <c r="I1" s="958"/>
      <c r="J1" s="958"/>
      <c r="K1" s="958"/>
      <c r="L1" s="958"/>
      <c r="M1" s="958"/>
      <c r="N1" s="958"/>
      <c r="O1" s="958"/>
      <c r="P1" s="958"/>
      <c r="Q1" s="958"/>
      <c r="R1" s="958"/>
      <c r="S1" s="958"/>
      <c r="W1" s="958"/>
      <c r="X1" s="958"/>
      <c r="Y1" s="957" t="s">
        <v>1277</v>
      </c>
      <c r="Z1" s="957"/>
      <c r="AA1" s="957"/>
      <c r="AB1" s="957"/>
      <c r="AC1" s="957"/>
      <c r="AD1" s="958"/>
      <c r="AE1" s="958"/>
      <c r="AF1" s="958"/>
      <c r="AQ1" s="958"/>
      <c r="AR1" s="958"/>
      <c r="AS1" s="958"/>
      <c r="AT1" s="958"/>
    </row>
    <row r="2" spans="1:48">
      <c r="A2" s="1575" t="s">
        <v>55</v>
      </c>
      <c r="B2" s="959" t="s">
        <v>55</v>
      </c>
      <c r="C2" s="959" t="s">
        <v>55</v>
      </c>
      <c r="D2" s="959" t="s">
        <v>55</v>
      </c>
      <c r="E2" s="959" t="s">
        <v>55</v>
      </c>
      <c r="F2" s="959" t="s">
        <v>55</v>
      </c>
      <c r="G2" s="959" t="s">
        <v>55</v>
      </c>
      <c r="H2" s="959" t="s">
        <v>55</v>
      </c>
      <c r="I2" s="959" t="s">
        <v>55</v>
      </c>
      <c r="J2" s="959" t="s">
        <v>55</v>
      </c>
      <c r="K2" s="959" t="s">
        <v>55</v>
      </c>
      <c r="L2" s="959" t="s">
        <v>55</v>
      </c>
      <c r="M2" s="959" t="s">
        <v>55</v>
      </c>
      <c r="N2" s="959" t="s">
        <v>55</v>
      </c>
      <c r="O2" s="959" t="s">
        <v>55</v>
      </c>
      <c r="P2" s="959" t="s">
        <v>55</v>
      </c>
      <c r="Q2" s="959" t="s">
        <v>55</v>
      </c>
      <c r="R2" s="959" t="s">
        <v>55</v>
      </c>
      <c r="S2" s="959" t="s">
        <v>55</v>
      </c>
      <c r="T2" s="959" t="s">
        <v>55</v>
      </c>
      <c r="U2" s="959" t="s">
        <v>55</v>
      </c>
      <c r="V2" s="959" t="s">
        <v>55</v>
      </c>
      <c r="W2" s="960" t="s">
        <v>55</v>
      </c>
      <c r="X2" s="1316" t="s">
        <v>4</v>
      </c>
      <c r="Y2" s="1575" t="s">
        <v>55</v>
      </c>
      <c r="Z2" s="959" t="s">
        <v>55</v>
      </c>
      <c r="AA2" s="959" t="s">
        <v>55</v>
      </c>
      <c r="AB2" s="959" t="s">
        <v>55</v>
      </c>
      <c r="AC2" s="959" t="s">
        <v>55</v>
      </c>
      <c r="AD2" s="959" t="s">
        <v>55</v>
      </c>
      <c r="AE2" s="959" t="s">
        <v>55</v>
      </c>
      <c r="AF2" s="959" t="s">
        <v>55</v>
      </c>
      <c r="AG2" s="959" t="s">
        <v>55</v>
      </c>
      <c r="AH2" s="959" t="s">
        <v>55</v>
      </c>
      <c r="AI2" s="959" t="s">
        <v>55</v>
      </c>
      <c r="AJ2" s="959" t="s">
        <v>55</v>
      </c>
      <c r="AK2" s="959" t="s">
        <v>55</v>
      </c>
      <c r="AL2" s="959" t="s">
        <v>55</v>
      </c>
      <c r="AM2" s="959" t="s">
        <v>55</v>
      </c>
      <c r="AN2" s="959" t="s">
        <v>55</v>
      </c>
      <c r="AO2" s="959" t="s">
        <v>55</v>
      </c>
      <c r="AP2" s="959" t="s">
        <v>55</v>
      </c>
      <c r="AQ2" s="959" t="s">
        <v>55</v>
      </c>
      <c r="AR2" s="959" t="s">
        <v>55</v>
      </c>
      <c r="AS2" s="959" t="s">
        <v>55</v>
      </c>
      <c r="AT2" s="959" t="s">
        <v>55</v>
      </c>
      <c r="AU2" s="960" t="s">
        <v>55</v>
      </c>
    </row>
    <row r="3" spans="1:48" ht="22.5" thickBot="1">
      <c r="A3" s="1577" t="s">
        <v>8</v>
      </c>
      <c r="B3" s="961" t="s">
        <v>8</v>
      </c>
      <c r="C3" s="961" t="s">
        <v>8</v>
      </c>
      <c r="D3" s="961" t="s">
        <v>8</v>
      </c>
      <c r="E3" s="961" t="s">
        <v>8</v>
      </c>
      <c r="F3" s="961" t="s">
        <v>8</v>
      </c>
      <c r="G3" s="961" t="s">
        <v>8</v>
      </c>
      <c r="H3" s="961" t="s">
        <v>8</v>
      </c>
      <c r="I3" s="961" t="s">
        <v>8</v>
      </c>
      <c r="J3" s="961" t="s">
        <v>8</v>
      </c>
      <c r="K3" s="961" t="s">
        <v>8</v>
      </c>
      <c r="L3" s="961" t="s">
        <v>8</v>
      </c>
      <c r="M3" s="961" t="s">
        <v>8</v>
      </c>
      <c r="N3" s="961" t="s">
        <v>8</v>
      </c>
      <c r="O3" s="962" t="s">
        <v>8</v>
      </c>
      <c r="P3" s="962" t="s">
        <v>8</v>
      </c>
      <c r="Q3" s="962" t="s">
        <v>8</v>
      </c>
      <c r="R3" s="962" t="s">
        <v>8</v>
      </c>
      <c r="S3" s="962" t="s">
        <v>8</v>
      </c>
      <c r="T3" s="962" t="s">
        <v>8</v>
      </c>
      <c r="U3" s="962" t="s">
        <v>8</v>
      </c>
      <c r="V3" s="962" t="s">
        <v>8</v>
      </c>
      <c r="W3" s="963" t="s">
        <v>8</v>
      </c>
      <c r="X3" s="1317" t="s">
        <v>40</v>
      </c>
      <c r="Y3" s="1576" t="s">
        <v>8</v>
      </c>
      <c r="Z3" s="962" t="s">
        <v>8</v>
      </c>
      <c r="AA3" s="962" t="s">
        <v>8</v>
      </c>
      <c r="AB3" s="962" t="s">
        <v>8</v>
      </c>
      <c r="AC3" s="962" t="s">
        <v>8</v>
      </c>
      <c r="AD3" s="962" t="s">
        <v>8</v>
      </c>
      <c r="AE3" s="962" t="s">
        <v>8</v>
      </c>
      <c r="AF3" s="962" t="s">
        <v>8</v>
      </c>
      <c r="AG3" s="962" t="s">
        <v>8</v>
      </c>
      <c r="AH3" s="962" t="s">
        <v>8</v>
      </c>
      <c r="AI3" s="962" t="s">
        <v>8</v>
      </c>
      <c r="AJ3" s="962" t="s">
        <v>8</v>
      </c>
      <c r="AK3" s="962" t="s">
        <v>8</v>
      </c>
      <c r="AL3" s="962" t="s">
        <v>8</v>
      </c>
      <c r="AM3" s="962" t="s">
        <v>8</v>
      </c>
      <c r="AN3" s="962" t="s">
        <v>8</v>
      </c>
      <c r="AO3" s="962" t="s">
        <v>8</v>
      </c>
      <c r="AP3" s="962" t="s">
        <v>8</v>
      </c>
      <c r="AQ3" s="962" t="s">
        <v>8</v>
      </c>
      <c r="AR3" s="962" t="s">
        <v>8</v>
      </c>
      <c r="AS3" s="962" t="s">
        <v>8</v>
      </c>
      <c r="AT3" s="962" t="s">
        <v>8</v>
      </c>
      <c r="AU3" s="963" t="s">
        <v>8</v>
      </c>
    </row>
    <row r="4" spans="1:48" ht="22.5" thickBot="1">
      <c r="A4" s="1937">
        <v>20.5</v>
      </c>
      <c r="B4" s="1957">
        <f>+A4+1</f>
        <v>21.5</v>
      </c>
      <c r="C4" s="1957">
        <f t="shared" ref="C4:D4" si="0">+B4+1</f>
        <v>22.5</v>
      </c>
      <c r="D4" s="1957">
        <f t="shared" si="0"/>
        <v>23.5</v>
      </c>
      <c r="E4" s="1957">
        <f t="shared" ref="E4" si="1">+D4+1</f>
        <v>24.5</v>
      </c>
      <c r="F4" s="1957">
        <f t="shared" ref="F4" si="2">+E4+1</f>
        <v>25.5</v>
      </c>
      <c r="G4" s="1957">
        <f t="shared" ref="G4" si="3">+F4+1</f>
        <v>26.5</v>
      </c>
      <c r="H4" s="1957">
        <f t="shared" ref="H4" si="4">+G4+1</f>
        <v>27.5</v>
      </c>
      <c r="I4" s="1957">
        <f t="shared" ref="I4" si="5">+H4+1</f>
        <v>28.5</v>
      </c>
      <c r="J4" s="1957">
        <f t="shared" ref="J4" si="6">+I4+1</f>
        <v>29.5</v>
      </c>
      <c r="K4" s="1957">
        <f t="shared" ref="K4" si="7">+J4+1</f>
        <v>30.5</v>
      </c>
      <c r="L4" s="1957">
        <f t="shared" ref="L4" si="8">+K4+1</f>
        <v>31.5</v>
      </c>
      <c r="M4" s="964"/>
      <c r="N4" s="964"/>
      <c r="O4" s="964"/>
      <c r="P4" s="964"/>
      <c r="Q4" s="964"/>
      <c r="R4" s="964"/>
      <c r="S4" s="964"/>
      <c r="T4" s="964"/>
      <c r="U4" s="964"/>
      <c r="V4" s="964"/>
      <c r="W4" s="964"/>
      <c r="X4" s="1318"/>
      <c r="Y4" s="1937">
        <v>20.5</v>
      </c>
      <c r="Z4" s="1957">
        <f t="shared" ref="Z4:AU4" si="9">+Y4+1</f>
        <v>21.5</v>
      </c>
      <c r="AA4" s="1957">
        <f t="shared" si="9"/>
        <v>22.5</v>
      </c>
      <c r="AB4" s="1957">
        <f t="shared" si="9"/>
        <v>23.5</v>
      </c>
      <c r="AC4" s="1957">
        <f t="shared" si="9"/>
        <v>24.5</v>
      </c>
      <c r="AD4" s="1957">
        <f t="shared" si="9"/>
        <v>25.5</v>
      </c>
      <c r="AE4" s="1957">
        <f t="shared" si="9"/>
        <v>26.5</v>
      </c>
      <c r="AF4" s="1957">
        <f t="shared" si="9"/>
        <v>27.5</v>
      </c>
      <c r="AG4" s="1957">
        <f t="shared" si="9"/>
        <v>28.5</v>
      </c>
      <c r="AH4" s="1957">
        <f t="shared" si="9"/>
        <v>29.5</v>
      </c>
      <c r="AI4" s="1957">
        <f t="shared" si="9"/>
        <v>30.5</v>
      </c>
      <c r="AJ4" s="1957">
        <f t="shared" si="9"/>
        <v>31.5</v>
      </c>
      <c r="AK4" s="1957">
        <f t="shared" si="9"/>
        <v>32.5</v>
      </c>
      <c r="AL4" s="1957">
        <f t="shared" si="9"/>
        <v>33.5</v>
      </c>
      <c r="AM4" s="1957">
        <f t="shared" si="9"/>
        <v>34.5</v>
      </c>
      <c r="AN4" s="964">
        <f t="shared" si="9"/>
        <v>35.5</v>
      </c>
      <c r="AO4" s="964">
        <f t="shared" si="9"/>
        <v>36.5</v>
      </c>
      <c r="AP4" s="964">
        <f t="shared" si="9"/>
        <v>37.5</v>
      </c>
      <c r="AQ4" s="964">
        <f t="shared" si="9"/>
        <v>38.5</v>
      </c>
      <c r="AR4" s="964">
        <f t="shared" si="9"/>
        <v>39.5</v>
      </c>
      <c r="AS4" s="964">
        <f t="shared" si="9"/>
        <v>40.5</v>
      </c>
      <c r="AT4" s="964">
        <f t="shared" si="9"/>
        <v>41.5</v>
      </c>
      <c r="AU4" s="1319">
        <f t="shared" si="9"/>
        <v>42.5</v>
      </c>
    </row>
    <row r="5" spans="1:48">
      <c r="A5" s="1940"/>
      <c r="B5" s="1950"/>
      <c r="C5" s="1958">
        <v>7.85</v>
      </c>
      <c r="D5" s="1963">
        <v>7.89</v>
      </c>
      <c r="E5" s="1966">
        <v>7.92</v>
      </c>
      <c r="F5" s="1978">
        <v>7.96</v>
      </c>
      <c r="G5" s="1977"/>
      <c r="H5" s="1958"/>
      <c r="I5" s="1963"/>
      <c r="J5" s="1991"/>
      <c r="K5" s="1992"/>
      <c r="L5" s="1963"/>
      <c r="M5" s="1963"/>
      <c r="N5" s="1981"/>
      <c r="O5" s="1981"/>
      <c r="P5" s="1981"/>
      <c r="Q5" s="1320"/>
      <c r="R5" s="1320"/>
      <c r="S5" s="1320"/>
      <c r="T5" s="1320"/>
      <c r="U5" s="1320"/>
      <c r="V5" s="1320"/>
      <c r="W5" s="1321"/>
      <c r="X5" s="1322">
        <v>1</v>
      </c>
      <c r="Y5" s="1976"/>
      <c r="Z5" s="1977"/>
      <c r="AA5" s="1978">
        <v>4.3</v>
      </c>
      <c r="AB5" s="1977">
        <v>4.32</v>
      </c>
      <c r="AC5" s="1966">
        <v>4.3499999999999996</v>
      </c>
      <c r="AD5" s="1978">
        <v>4.37</v>
      </c>
      <c r="AE5" s="1977"/>
      <c r="AF5" s="1978"/>
      <c r="AG5" s="1977"/>
      <c r="AH5" s="1966"/>
      <c r="AI5" s="1979"/>
      <c r="AJ5" s="1980"/>
      <c r="AK5" s="1981"/>
      <c r="AL5" s="1981"/>
      <c r="AM5" s="1981"/>
      <c r="AN5" s="1320"/>
      <c r="AO5" s="1320"/>
      <c r="AP5" s="1320"/>
      <c r="AQ5" s="1320"/>
      <c r="AR5" s="1320"/>
      <c r="AS5" s="1320"/>
      <c r="AT5" s="1320"/>
      <c r="AU5" s="1321"/>
      <c r="AV5" s="1323"/>
    </row>
    <row r="6" spans="1:48">
      <c r="A6" s="1941"/>
      <c r="B6" s="1951"/>
      <c r="C6" s="1959">
        <v>9.39</v>
      </c>
      <c r="D6" s="1964">
        <v>9.4600000000000009</v>
      </c>
      <c r="E6" s="1967">
        <v>9.5399999999999991</v>
      </c>
      <c r="F6" s="1959">
        <v>9.61</v>
      </c>
      <c r="G6" s="1964"/>
      <c r="H6" s="1959"/>
      <c r="I6" s="1964"/>
      <c r="J6" s="1967"/>
      <c r="K6" s="1983"/>
      <c r="L6" s="1964"/>
      <c r="M6" s="1964"/>
      <c r="N6" s="1985"/>
      <c r="O6" s="1985"/>
      <c r="P6" s="1985"/>
      <c r="Q6" s="1324"/>
      <c r="R6" s="1324"/>
      <c r="S6" s="1324"/>
      <c r="T6" s="1324"/>
      <c r="U6" s="1324"/>
      <c r="V6" s="1324"/>
      <c r="W6" s="1325"/>
      <c r="X6" s="1326">
        <v>2</v>
      </c>
      <c r="Y6" s="1982"/>
      <c r="Z6" s="1964"/>
      <c r="AA6" s="1959">
        <v>5.4480000000000004</v>
      </c>
      <c r="AB6" s="1964">
        <v>5.53</v>
      </c>
      <c r="AC6" s="1967">
        <v>5.58</v>
      </c>
      <c r="AD6" s="1959">
        <v>5.63</v>
      </c>
      <c r="AE6" s="1964"/>
      <c r="AF6" s="1959"/>
      <c r="AG6" s="1964"/>
      <c r="AH6" s="1967"/>
      <c r="AI6" s="1983"/>
      <c r="AJ6" s="1984"/>
      <c r="AK6" s="1985"/>
      <c r="AL6" s="1985"/>
      <c r="AM6" s="1985"/>
      <c r="AN6" s="1324"/>
      <c r="AO6" s="1324"/>
      <c r="AP6" s="1324"/>
      <c r="AQ6" s="1324"/>
      <c r="AR6" s="1324"/>
      <c r="AS6" s="1324"/>
      <c r="AT6" s="1324"/>
      <c r="AU6" s="1325"/>
      <c r="AV6" s="1327"/>
    </row>
    <row r="7" spans="1:48">
      <c r="A7" s="1941"/>
      <c r="B7" s="1952"/>
      <c r="C7" s="1959">
        <v>10.93</v>
      </c>
      <c r="D7" s="1964">
        <v>11.04</v>
      </c>
      <c r="E7" s="1967">
        <v>11.15</v>
      </c>
      <c r="F7" s="1959">
        <v>11.21</v>
      </c>
      <c r="G7" s="1964"/>
      <c r="H7" s="1959"/>
      <c r="I7" s="1964"/>
      <c r="J7" s="1967"/>
      <c r="K7" s="1983"/>
      <c r="L7" s="1964"/>
      <c r="M7" s="1964"/>
      <c r="N7" s="1985"/>
      <c r="O7" s="1985"/>
      <c r="P7" s="1985"/>
      <c r="Q7" s="1324"/>
      <c r="R7" s="1324"/>
      <c r="S7" s="1324"/>
      <c r="T7" s="1324"/>
      <c r="U7" s="1324"/>
      <c r="V7" s="1324"/>
      <c r="W7" s="1325"/>
      <c r="X7" s="1326">
        <v>3</v>
      </c>
      <c r="Y7" s="1982"/>
      <c r="Z7" s="1964"/>
      <c r="AA7" s="1959">
        <v>6.65</v>
      </c>
      <c r="AB7" s="1964">
        <v>6.73</v>
      </c>
      <c r="AC7" s="1967">
        <v>6.81</v>
      </c>
      <c r="AD7" s="1959">
        <v>6.89</v>
      </c>
      <c r="AE7" s="1964"/>
      <c r="AF7" s="1959"/>
      <c r="AG7" s="1964"/>
      <c r="AH7" s="1967"/>
      <c r="AI7" s="1983"/>
      <c r="AJ7" s="1984"/>
      <c r="AK7" s="1985"/>
      <c r="AL7" s="1985"/>
      <c r="AM7" s="1985"/>
      <c r="AN7" s="1324"/>
      <c r="AO7" s="1324"/>
      <c r="AP7" s="1324"/>
      <c r="AQ7" s="1324"/>
      <c r="AR7" s="1324"/>
      <c r="AS7" s="1324"/>
      <c r="AT7" s="1324"/>
      <c r="AU7" s="1325"/>
      <c r="AV7" s="1327"/>
    </row>
    <row r="8" spans="1:48">
      <c r="A8" s="1941"/>
      <c r="B8" s="1953"/>
      <c r="C8" s="1959">
        <v>12.47</v>
      </c>
      <c r="D8" s="1964">
        <v>12.62</v>
      </c>
      <c r="E8" s="1967">
        <v>12.77</v>
      </c>
      <c r="F8" s="1959">
        <v>12.91</v>
      </c>
      <c r="G8" s="1964"/>
      <c r="H8" s="1959"/>
      <c r="I8" s="1964"/>
      <c r="J8" s="1967"/>
      <c r="K8" s="1983"/>
      <c r="L8" s="1964"/>
      <c r="M8" s="1964"/>
      <c r="N8" s="1985"/>
      <c r="O8" s="1985"/>
      <c r="P8" s="1985"/>
      <c r="Q8" s="1324"/>
      <c r="R8" s="1324"/>
      <c r="S8" s="1324"/>
      <c r="T8" s="1324"/>
      <c r="U8" s="1324"/>
      <c r="V8" s="1324"/>
      <c r="W8" s="1325"/>
      <c r="X8" s="1326">
        <v>4</v>
      </c>
      <c r="Y8" s="1982"/>
      <c r="Z8" s="1964"/>
      <c r="AA8" s="1959">
        <v>7.83</v>
      </c>
      <c r="AB8" s="1964">
        <v>7.94</v>
      </c>
      <c r="AC8" s="1967">
        <v>8.0399999999999991</v>
      </c>
      <c r="AD8" s="1959">
        <v>8.14</v>
      </c>
      <c r="AE8" s="1964"/>
      <c r="AF8" s="1959"/>
      <c r="AG8" s="1964"/>
      <c r="AH8" s="1967"/>
      <c r="AI8" s="1983"/>
      <c r="AJ8" s="1984"/>
      <c r="AK8" s="1985"/>
      <c r="AL8" s="1985"/>
      <c r="AM8" s="1985"/>
      <c r="AN8" s="1324"/>
      <c r="AO8" s="1324"/>
      <c r="AP8" s="1324"/>
      <c r="AQ8" s="1324"/>
      <c r="AR8" s="1324"/>
      <c r="AS8" s="1324"/>
      <c r="AT8" s="1324"/>
      <c r="AU8" s="1325"/>
      <c r="AV8" s="1327"/>
    </row>
    <row r="9" spans="1:48">
      <c r="A9" s="1942"/>
      <c r="B9" s="1954"/>
      <c r="C9" s="1959">
        <v>14.02</v>
      </c>
      <c r="D9" s="1964">
        <v>14.2</v>
      </c>
      <c r="E9" s="1967">
        <v>14.38</v>
      </c>
      <c r="F9" s="1959">
        <v>14.56</v>
      </c>
      <c r="G9" s="1964"/>
      <c r="H9" s="1959"/>
      <c r="I9" s="1964"/>
      <c r="J9" s="1967"/>
      <c r="K9" s="1983"/>
      <c r="L9" s="1964"/>
      <c r="M9" s="1964"/>
      <c r="N9" s="1985"/>
      <c r="O9" s="1985"/>
      <c r="P9" s="1985"/>
      <c r="Q9" s="1324"/>
      <c r="R9" s="1324"/>
      <c r="S9" s="1324"/>
      <c r="T9" s="1324"/>
      <c r="U9" s="1324"/>
      <c r="V9" s="1324"/>
      <c r="W9" s="1325"/>
      <c r="X9" s="1326">
        <v>5</v>
      </c>
      <c r="Y9" s="1982"/>
      <c r="Z9" s="1964"/>
      <c r="AA9" s="1959">
        <v>9.01</v>
      </c>
      <c r="AB9" s="1964">
        <v>9.14</v>
      </c>
      <c r="AC9" s="1967">
        <v>9.27</v>
      </c>
      <c r="AD9" s="1959">
        <v>9.4</v>
      </c>
      <c r="AE9" s="1964"/>
      <c r="AF9" s="1959"/>
      <c r="AG9" s="1964"/>
      <c r="AH9" s="1967"/>
      <c r="AI9" s="1983"/>
      <c r="AJ9" s="1984"/>
      <c r="AK9" s="1985"/>
      <c r="AL9" s="1985"/>
      <c r="AM9" s="1985"/>
      <c r="AN9" s="1324"/>
      <c r="AO9" s="1324"/>
      <c r="AP9" s="1324"/>
      <c r="AQ9" s="1324"/>
      <c r="AR9" s="1324"/>
      <c r="AS9" s="1324"/>
      <c r="AT9" s="1324"/>
      <c r="AU9" s="1325"/>
      <c r="AV9" s="1327"/>
    </row>
    <row r="10" spans="1:48">
      <c r="A10" s="1941"/>
      <c r="B10" s="1951"/>
      <c r="C10" s="1959">
        <v>15.56</v>
      </c>
      <c r="D10" s="1964">
        <v>15.78</v>
      </c>
      <c r="E10" s="1967">
        <v>16</v>
      </c>
      <c r="F10" s="1959">
        <v>16.21</v>
      </c>
      <c r="G10" s="1964"/>
      <c r="H10" s="1959"/>
      <c r="I10" s="1964"/>
      <c r="J10" s="1967"/>
      <c r="K10" s="1983"/>
      <c r="L10" s="1964"/>
      <c r="M10" s="1964"/>
      <c r="N10" s="1985"/>
      <c r="O10" s="1985"/>
      <c r="P10" s="1985"/>
      <c r="Q10" s="1324"/>
      <c r="R10" s="1324"/>
      <c r="S10" s="1324"/>
      <c r="T10" s="1324"/>
      <c r="U10" s="1324"/>
      <c r="V10" s="1324"/>
      <c r="W10" s="1325"/>
      <c r="X10" s="1326">
        <v>6</v>
      </c>
      <c r="Y10" s="1982"/>
      <c r="Z10" s="1964"/>
      <c r="AA10" s="1959">
        <v>10.19</v>
      </c>
      <c r="AB10" s="1964">
        <v>10.35</v>
      </c>
      <c r="AC10" s="1967">
        <v>10.5</v>
      </c>
      <c r="AD10" s="1959">
        <v>10.66</v>
      </c>
      <c r="AE10" s="1964"/>
      <c r="AF10" s="1959"/>
      <c r="AG10" s="1964"/>
      <c r="AH10" s="1967"/>
      <c r="AI10" s="1983"/>
      <c r="AJ10" s="1984"/>
      <c r="AK10" s="1985"/>
      <c r="AL10" s="1985"/>
      <c r="AM10" s="1985"/>
      <c r="AN10" s="1324"/>
      <c r="AO10" s="1324"/>
      <c r="AP10" s="1324"/>
      <c r="AQ10" s="1324"/>
      <c r="AR10" s="1324"/>
      <c r="AS10" s="1324"/>
      <c r="AT10" s="1324"/>
      <c r="AU10" s="1325"/>
      <c r="AV10" s="1327"/>
    </row>
    <row r="11" spans="1:48">
      <c r="A11" s="1942"/>
      <c r="B11" s="1952"/>
      <c r="C11" s="1959">
        <v>17.100000000000001</v>
      </c>
      <c r="D11" s="1964">
        <v>17.36</v>
      </c>
      <c r="E11" s="1967">
        <v>17.61</v>
      </c>
      <c r="F11" s="1959">
        <v>17.86</v>
      </c>
      <c r="G11" s="1964"/>
      <c r="H11" s="1959"/>
      <c r="I11" s="1964"/>
      <c r="J11" s="1967"/>
      <c r="K11" s="1983"/>
      <c r="L11" s="1964"/>
      <c r="M11" s="1964"/>
      <c r="N11" s="1985"/>
      <c r="O11" s="1985"/>
      <c r="P11" s="1985"/>
      <c r="Q11" s="1324"/>
      <c r="R11" s="1324"/>
      <c r="S11" s="1324"/>
      <c r="T11" s="1324"/>
      <c r="U11" s="1324"/>
      <c r="V11" s="1324"/>
      <c r="W11" s="1325"/>
      <c r="X11" s="1326">
        <v>7</v>
      </c>
      <c r="Y11" s="1982"/>
      <c r="Z11" s="1964"/>
      <c r="AA11" s="1959">
        <v>11.37</v>
      </c>
      <c r="AB11" s="1964">
        <v>11.55</v>
      </c>
      <c r="AC11" s="1967">
        <v>11.73</v>
      </c>
      <c r="AD11" s="1959">
        <v>11.91</v>
      </c>
      <c r="AE11" s="1964"/>
      <c r="AF11" s="1959"/>
      <c r="AG11" s="1964"/>
      <c r="AH11" s="1967"/>
      <c r="AI11" s="1983"/>
      <c r="AJ11" s="1984"/>
      <c r="AK11" s="1985"/>
      <c r="AL11" s="1985"/>
      <c r="AM11" s="1985"/>
      <c r="AN11" s="1324"/>
      <c r="AO11" s="1324"/>
      <c r="AP11" s="1324"/>
      <c r="AQ11" s="1324"/>
      <c r="AR11" s="1324"/>
      <c r="AS11" s="1324"/>
      <c r="AT11" s="1324"/>
      <c r="AU11" s="1325"/>
      <c r="AV11" s="1327"/>
    </row>
    <row r="12" spans="1:48">
      <c r="A12" s="1941"/>
      <c r="B12" s="1952"/>
      <c r="C12" s="1959">
        <v>18.88</v>
      </c>
      <c r="D12" s="1964">
        <v>19.170000000000002</v>
      </c>
      <c r="E12" s="1967">
        <v>19.46</v>
      </c>
      <c r="F12" s="1959">
        <v>19.75</v>
      </c>
      <c r="G12" s="1964"/>
      <c r="H12" s="1959"/>
      <c r="I12" s="1964"/>
      <c r="J12" s="1967"/>
      <c r="K12" s="1983"/>
      <c r="L12" s="1964"/>
      <c r="M12" s="1964"/>
      <c r="N12" s="1985"/>
      <c r="O12" s="1985"/>
      <c r="P12" s="1985"/>
      <c r="Q12" s="1324"/>
      <c r="R12" s="1324"/>
      <c r="S12" s="1324"/>
      <c r="T12" s="1324"/>
      <c r="U12" s="1324"/>
      <c r="V12" s="1324"/>
      <c r="W12" s="1325"/>
      <c r="X12" s="1326">
        <v>8</v>
      </c>
      <c r="Y12" s="1982"/>
      <c r="Z12" s="1964"/>
      <c r="AA12" s="1959">
        <v>12.55</v>
      </c>
      <c r="AB12" s="1964">
        <v>12.76</v>
      </c>
      <c r="AC12" s="1967">
        <v>12.96</v>
      </c>
      <c r="AD12" s="1959">
        <v>13.17</v>
      </c>
      <c r="AE12" s="1964"/>
      <c r="AF12" s="1959"/>
      <c r="AG12" s="1964"/>
      <c r="AH12" s="1967"/>
      <c r="AI12" s="1983"/>
      <c r="AJ12" s="1984"/>
      <c r="AK12" s="1985"/>
      <c r="AL12" s="1985"/>
      <c r="AM12" s="1985"/>
      <c r="AN12" s="1324"/>
      <c r="AO12" s="1324"/>
      <c r="AP12" s="1324"/>
      <c r="AQ12" s="1324"/>
      <c r="AR12" s="1324"/>
      <c r="AS12" s="1324"/>
      <c r="AT12" s="1324"/>
      <c r="AU12" s="1325"/>
      <c r="AV12" s="1327"/>
    </row>
    <row r="13" spans="1:48">
      <c r="A13" s="1941"/>
      <c r="B13" s="1954"/>
      <c r="C13" s="1959">
        <v>21.08</v>
      </c>
      <c r="D13" s="1964">
        <v>21.41</v>
      </c>
      <c r="E13" s="1967">
        <v>21.74</v>
      </c>
      <c r="F13" s="1959">
        <v>22.07</v>
      </c>
      <c r="G13" s="1964"/>
      <c r="H13" s="1959"/>
      <c r="I13" s="1964"/>
      <c r="J13" s="1967"/>
      <c r="K13" s="1983"/>
      <c r="L13" s="1964"/>
      <c r="M13" s="1964"/>
      <c r="N13" s="1985"/>
      <c r="O13" s="1985"/>
      <c r="P13" s="1985"/>
      <c r="Q13" s="1324"/>
      <c r="R13" s="1324"/>
      <c r="S13" s="1324"/>
      <c r="T13" s="1324"/>
      <c r="U13" s="1324"/>
      <c r="V13" s="1324"/>
      <c r="W13" s="1325"/>
      <c r="X13" s="1326">
        <v>9</v>
      </c>
      <c r="Y13" s="1982"/>
      <c r="Z13" s="1964"/>
      <c r="AA13" s="1959">
        <v>13.73</v>
      </c>
      <c r="AB13" s="1964">
        <v>13.96</v>
      </c>
      <c r="AC13" s="1967">
        <v>14.19</v>
      </c>
      <c r="AD13" s="1959">
        <v>14.43</v>
      </c>
      <c r="AE13" s="1964"/>
      <c r="AF13" s="1959"/>
      <c r="AG13" s="1964"/>
      <c r="AH13" s="1967"/>
      <c r="AI13" s="1983"/>
      <c r="AJ13" s="1984"/>
      <c r="AK13" s="1985"/>
      <c r="AL13" s="1985"/>
      <c r="AM13" s="1985"/>
      <c r="AN13" s="1324"/>
      <c r="AO13" s="1324"/>
      <c r="AP13" s="1324"/>
      <c r="AQ13" s="1324"/>
      <c r="AR13" s="1324"/>
      <c r="AS13" s="1324"/>
      <c r="AT13" s="1324"/>
      <c r="AU13" s="1325"/>
      <c r="AV13" s="1327"/>
    </row>
    <row r="14" spans="1:48">
      <c r="A14" s="1941"/>
      <c r="B14" s="1954"/>
      <c r="C14" s="1959">
        <v>23.29</v>
      </c>
      <c r="D14" s="1964">
        <v>23.65</v>
      </c>
      <c r="E14" s="1967">
        <v>24.01</v>
      </c>
      <c r="F14" s="1959">
        <v>24.38</v>
      </c>
      <c r="G14" s="1964"/>
      <c r="H14" s="1959"/>
      <c r="I14" s="1964"/>
      <c r="J14" s="1967"/>
      <c r="K14" s="1983"/>
      <c r="L14" s="1964"/>
      <c r="M14" s="1964"/>
      <c r="N14" s="1985"/>
      <c r="O14" s="1985"/>
      <c r="P14" s="1985"/>
      <c r="Q14" s="1324"/>
      <c r="R14" s="1324"/>
      <c r="S14" s="1324"/>
      <c r="T14" s="1324"/>
      <c r="U14" s="1324"/>
      <c r="V14" s="1324"/>
      <c r="W14" s="1325"/>
      <c r="X14" s="1326">
        <v>10</v>
      </c>
      <c r="Y14" s="1982"/>
      <c r="Z14" s="1964"/>
      <c r="AA14" s="1959">
        <v>14.91</v>
      </c>
      <c r="AB14" s="1964">
        <v>15.17</v>
      </c>
      <c r="AC14" s="1967">
        <v>15.42</v>
      </c>
      <c r="AD14" s="1959">
        <v>15.68</v>
      </c>
      <c r="AE14" s="1964"/>
      <c r="AF14" s="1959"/>
      <c r="AG14" s="1964"/>
      <c r="AH14" s="1967"/>
      <c r="AI14" s="1983"/>
      <c r="AJ14" s="1984"/>
      <c r="AK14" s="1985"/>
      <c r="AL14" s="1985"/>
      <c r="AM14" s="1985"/>
      <c r="AN14" s="1324"/>
      <c r="AO14" s="1324"/>
      <c r="AP14" s="1324"/>
      <c r="AQ14" s="1324"/>
      <c r="AR14" s="1324"/>
      <c r="AS14" s="1324"/>
      <c r="AT14" s="1324"/>
      <c r="AU14" s="1325"/>
      <c r="AV14" s="1327"/>
    </row>
    <row r="15" spans="1:48">
      <c r="A15" s="1941"/>
      <c r="B15" s="1954"/>
      <c r="C15" s="1959">
        <v>25.49</v>
      </c>
      <c r="D15" s="1964">
        <v>25.89</v>
      </c>
      <c r="E15" s="1967">
        <v>26.29</v>
      </c>
      <c r="F15" s="1959">
        <v>26.69</v>
      </c>
      <c r="G15" s="1964"/>
      <c r="H15" s="1959"/>
      <c r="I15" s="1964"/>
      <c r="J15" s="1967"/>
      <c r="K15" s="1983"/>
      <c r="L15" s="1964"/>
      <c r="M15" s="1964"/>
      <c r="N15" s="1985"/>
      <c r="O15" s="1985"/>
      <c r="P15" s="1985"/>
      <c r="Q15" s="1324"/>
      <c r="R15" s="1324"/>
      <c r="S15" s="1324"/>
      <c r="T15" s="1324"/>
      <c r="U15" s="1324"/>
      <c r="V15" s="1324"/>
      <c r="W15" s="1325"/>
      <c r="X15" s="1326">
        <v>11</v>
      </c>
      <c r="Y15" s="1982"/>
      <c r="Z15" s="1964"/>
      <c r="AA15" s="1959">
        <v>16.09</v>
      </c>
      <c r="AB15" s="1964">
        <v>16.37</v>
      </c>
      <c r="AC15" s="1967">
        <v>16.649999999999999</v>
      </c>
      <c r="AD15" s="1959">
        <v>16.940000000000001</v>
      </c>
      <c r="AE15" s="1964"/>
      <c r="AF15" s="1959"/>
      <c r="AG15" s="1964"/>
      <c r="AH15" s="1967"/>
      <c r="AI15" s="1983"/>
      <c r="AJ15" s="1984"/>
      <c r="AK15" s="1985"/>
      <c r="AL15" s="1985"/>
      <c r="AM15" s="1985"/>
      <c r="AN15" s="1324"/>
      <c r="AO15" s="1324"/>
      <c r="AP15" s="1324"/>
      <c r="AQ15" s="1324"/>
      <c r="AR15" s="1324"/>
      <c r="AS15" s="1324"/>
      <c r="AT15" s="1324"/>
      <c r="AU15" s="1325"/>
      <c r="AV15" s="1327"/>
    </row>
    <row r="16" spans="1:48">
      <c r="A16" s="1941"/>
      <c r="B16" s="1952"/>
      <c r="C16" s="1959">
        <v>27.69</v>
      </c>
      <c r="D16" s="1964">
        <v>28.12</v>
      </c>
      <c r="E16" s="1967">
        <v>28.56</v>
      </c>
      <c r="F16" s="1959">
        <v>29</v>
      </c>
      <c r="G16" s="1964"/>
      <c r="H16" s="1959"/>
      <c r="I16" s="1964"/>
      <c r="J16" s="1967"/>
      <c r="K16" s="1983"/>
      <c r="L16" s="1964"/>
      <c r="M16" s="1964"/>
      <c r="N16" s="1985"/>
      <c r="O16" s="1985"/>
      <c r="P16" s="1985"/>
      <c r="Q16" s="1324"/>
      <c r="R16" s="1324"/>
      <c r="S16" s="1324"/>
      <c r="T16" s="1324"/>
      <c r="U16" s="1324"/>
      <c r="V16" s="1324"/>
      <c r="W16" s="1325"/>
      <c r="X16" s="1326">
        <v>12</v>
      </c>
      <c r="Y16" s="1982"/>
      <c r="Z16" s="1964"/>
      <c r="AA16" s="1959">
        <v>17.27</v>
      </c>
      <c r="AB16" s="1964">
        <v>17.579999999999998</v>
      </c>
      <c r="AC16" s="1967">
        <v>17.89</v>
      </c>
      <c r="AD16" s="1959">
        <v>18.190000000000001</v>
      </c>
      <c r="AE16" s="1964"/>
      <c r="AF16" s="1959"/>
      <c r="AG16" s="1964"/>
      <c r="AH16" s="1967"/>
      <c r="AI16" s="1983"/>
      <c r="AJ16" s="1984"/>
      <c r="AK16" s="1985"/>
      <c r="AL16" s="1985"/>
      <c r="AM16" s="1985"/>
      <c r="AN16" s="1324"/>
      <c r="AO16" s="1324"/>
      <c r="AP16" s="1324"/>
      <c r="AQ16" s="1324"/>
      <c r="AR16" s="1324"/>
      <c r="AS16" s="1324"/>
      <c r="AT16" s="1324"/>
      <c r="AU16" s="1325"/>
      <c r="AV16" s="1327"/>
    </row>
    <row r="17" spans="1:48">
      <c r="A17" s="1941"/>
      <c r="B17" s="1952"/>
      <c r="C17" s="1959">
        <v>29.89</v>
      </c>
      <c r="D17" s="1964">
        <v>30.37</v>
      </c>
      <c r="E17" s="1967">
        <v>30.84</v>
      </c>
      <c r="F17" s="1959">
        <v>31.31</v>
      </c>
      <c r="G17" s="1964"/>
      <c r="H17" s="1959"/>
      <c r="I17" s="1964"/>
      <c r="J17" s="1967"/>
      <c r="K17" s="1983"/>
      <c r="L17" s="1964"/>
      <c r="M17" s="1964"/>
      <c r="N17" s="1985"/>
      <c r="O17" s="1985"/>
      <c r="P17" s="1985"/>
      <c r="Q17" s="1324"/>
      <c r="R17" s="1324"/>
      <c r="S17" s="1324"/>
      <c r="T17" s="1324"/>
      <c r="U17" s="1324"/>
      <c r="V17" s="1324"/>
      <c r="W17" s="1325"/>
      <c r="X17" s="1326">
        <v>13</v>
      </c>
      <c r="Y17" s="1982"/>
      <c r="Z17" s="1964"/>
      <c r="AA17" s="1959">
        <v>18.45</v>
      </c>
      <c r="AB17" s="1964">
        <v>18.78</v>
      </c>
      <c r="AC17" s="1967">
        <v>19.12</v>
      </c>
      <c r="AD17" s="1959">
        <v>19.45</v>
      </c>
      <c r="AE17" s="1964"/>
      <c r="AF17" s="1959"/>
      <c r="AG17" s="1964"/>
      <c r="AH17" s="1967"/>
      <c r="AI17" s="1983"/>
      <c r="AJ17" s="1984"/>
      <c r="AK17" s="1985"/>
      <c r="AL17" s="1985"/>
      <c r="AM17" s="1985"/>
      <c r="AN17" s="1324"/>
      <c r="AO17" s="1324"/>
      <c r="AP17" s="1324"/>
      <c r="AQ17" s="1324"/>
      <c r="AR17" s="1324"/>
      <c r="AS17" s="1324"/>
      <c r="AT17" s="1324"/>
      <c r="AU17" s="1325"/>
      <c r="AV17" s="1327"/>
    </row>
    <row r="18" spans="1:48">
      <c r="A18" s="1941"/>
      <c r="B18" s="1952"/>
      <c r="C18" s="1959">
        <v>32.1</v>
      </c>
      <c r="D18" s="1964">
        <v>32.6</v>
      </c>
      <c r="E18" s="1967">
        <v>33.11</v>
      </c>
      <c r="F18" s="1959">
        <v>33.619999999999997</v>
      </c>
      <c r="G18" s="1964"/>
      <c r="H18" s="1959"/>
      <c r="I18" s="1964"/>
      <c r="J18" s="1967"/>
      <c r="K18" s="1983"/>
      <c r="L18" s="1964"/>
      <c r="M18" s="1964"/>
      <c r="N18" s="1985"/>
      <c r="O18" s="1985"/>
      <c r="P18" s="1985"/>
      <c r="Q18" s="1324"/>
      <c r="R18" s="1324"/>
      <c r="S18" s="1324"/>
      <c r="T18" s="1324"/>
      <c r="U18" s="1324"/>
      <c r="V18" s="1324"/>
      <c r="W18" s="1325"/>
      <c r="X18" s="1326">
        <v>14</v>
      </c>
      <c r="Y18" s="1982"/>
      <c r="Z18" s="1964"/>
      <c r="AA18" s="1959">
        <v>19.63</v>
      </c>
      <c r="AB18" s="1964">
        <v>19.989999999999998</v>
      </c>
      <c r="AC18" s="1967">
        <v>20.350000000000001</v>
      </c>
      <c r="AD18" s="1959">
        <v>20.71</v>
      </c>
      <c r="AE18" s="1964"/>
      <c r="AF18" s="1959"/>
      <c r="AG18" s="1964"/>
      <c r="AH18" s="1967"/>
      <c r="AI18" s="1983"/>
      <c r="AJ18" s="1984"/>
      <c r="AK18" s="1985"/>
      <c r="AL18" s="1985"/>
      <c r="AM18" s="1985"/>
      <c r="AN18" s="1324"/>
      <c r="AO18" s="1324"/>
      <c r="AP18" s="1324"/>
      <c r="AQ18" s="1324"/>
      <c r="AR18" s="1324"/>
      <c r="AS18" s="1324"/>
      <c r="AT18" s="1324"/>
      <c r="AU18" s="1325"/>
      <c r="AV18" s="1327"/>
    </row>
    <row r="19" spans="1:48">
      <c r="A19" s="1941"/>
      <c r="B19" s="1954"/>
      <c r="C19" s="1959">
        <v>34.299999999999997</v>
      </c>
      <c r="D19" s="1964">
        <v>34.840000000000003</v>
      </c>
      <c r="E19" s="1967">
        <v>35.39</v>
      </c>
      <c r="F19" s="1959">
        <v>35.93</v>
      </c>
      <c r="G19" s="1964"/>
      <c r="H19" s="1959"/>
      <c r="I19" s="1964"/>
      <c r="J19" s="1967"/>
      <c r="K19" s="1983"/>
      <c r="L19" s="1964"/>
      <c r="M19" s="1964"/>
      <c r="N19" s="1985"/>
      <c r="O19" s="1985"/>
      <c r="P19" s="1985"/>
      <c r="Q19" s="1324"/>
      <c r="R19" s="1324"/>
      <c r="S19" s="1324"/>
      <c r="T19" s="1324"/>
      <c r="U19" s="1324"/>
      <c r="V19" s="1324"/>
      <c r="W19" s="1325"/>
      <c r="X19" s="1326">
        <v>15</v>
      </c>
      <c r="Y19" s="1982"/>
      <c r="Z19" s="1964"/>
      <c r="AA19" s="1959">
        <v>20.87</v>
      </c>
      <c r="AB19" s="1964">
        <v>21.25</v>
      </c>
      <c r="AC19" s="1967">
        <v>21.64</v>
      </c>
      <c r="AD19" s="1959">
        <v>22.02</v>
      </c>
      <c r="AE19" s="1964"/>
      <c r="AF19" s="1959"/>
      <c r="AG19" s="1964"/>
      <c r="AH19" s="1967"/>
      <c r="AI19" s="1983"/>
      <c r="AJ19" s="1984"/>
      <c r="AK19" s="1985"/>
      <c r="AL19" s="1985"/>
      <c r="AM19" s="1985"/>
      <c r="AN19" s="1324"/>
      <c r="AO19" s="1324"/>
      <c r="AP19" s="1324"/>
      <c r="AQ19" s="1324"/>
      <c r="AR19" s="1324"/>
      <c r="AS19" s="1324"/>
      <c r="AT19" s="1324"/>
      <c r="AU19" s="1325"/>
      <c r="AV19" s="1327"/>
    </row>
    <row r="20" spans="1:48">
      <c r="A20" s="1941"/>
      <c r="B20" s="1954"/>
      <c r="C20" s="1959">
        <v>36.5</v>
      </c>
      <c r="D20" s="1964">
        <v>37.08</v>
      </c>
      <c r="E20" s="1967">
        <v>37.67</v>
      </c>
      <c r="F20" s="1959">
        <v>38.25</v>
      </c>
      <c r="G20" s="1964"/>
      <c r="H20" s="1959"/>
      <c r="I20" s="1964"/>
      <c r="J20" s="1967"/>
      <c r="K20" s="1983"/>
      <c r="L20" s="1964"/>
      <c r="M20" s="1964"/>
      <c r="N20" s="1985"/>
      <c r="O20" s="1985"/>
      <c r="P20" s="1985"/>
      <c r="Q20" s="1324"/>
      <c r="R20" s="1324"/>
      <c r="S20" s="1324"/>
      <c r="T20" s="1324"/>
      <c r="U20" s="1324"/>
      <c r="V20" s="1324"/>
      <c r="W20" s="1325"/>
      <c r="X20" s="1326">
        <v>16</v>
      </c>
      <c r="Y20" s="1982"/>
      <c r="Z20" s="1964"/>
      <c r="AA20" s="1959">
        <v>22.21</v>
      </c>
      <c r="AB20" s="1964">
        <v>22.63</v>
      </c>
      <c r="AC20" s="1967">
        <v>23.04</v>
      </c>
      <c r="AD20" s="1959">
        <v>23.45</v>
      </c>
      <c r="AE20" s="1964"/>
      <c r="AF20" s="1959"/>
      <c r="AG20" s="1964"/>
      <c r="AH20" s="1967"/>
      <c r="AI20" s="1983"/>
      <c r="AJ20" s="1984"/>
      <c r="AK20" s="1985"/>
      <c r="AL20" s="1985"/>
      <c r="AM20" s="1985"/>
      <c r="AN20" s="1324"/>
      <c r="AO20" s="1324"/>
      <c r="AP20" s="1324"/>
      <c r="AQ20" s="1324"/>
      <c r="AR20" s="1324"/>
      <c r="AS20" s="1324"/>
      <c r="AT20" s="1324"/>
      <c r="AU20" s="1325"/>
      <c r="AV20" s="1327"/>
    </row>
    <row r="21" spans="1:48">
      <c r="A21" s="1941"/>
      <c r="B21" s="1952"/>
      <c r="C21" s="1959">
        <v>38.700000000000003</v>
      </c>
      <c r="D21" s="1964">
        <v>39.32</v>
      </c>
      <c r="E21" s="1967">
        <v>39.94</v>
      </c>
      <c r="F21" s="1959">
        <v>40.56</v>
      </c>
      <c r="G21" s="1964"/>
      <c r="H21" s="1959"/>
      <c r="I21" s="1964"/>
      <c r="J21" s="1967"/>
      <c r="K21" s="1983"/>
      <c r="L21" s="1964"/>
      <c r="M21" s="1964"/>
      <c r="N21" s="1985"/>
      <c r="O21" s="1985"/>
      <c r="P21" s="1985"/>
      <c r="Q21" s="1324"/>
      <c r="R21" s="1324"/>
      <c r="S21" s="1324"/>
      <c r="T21" s="1324"/>
      <c r="U21" s="1324"/>
      <c r="V21" s="1324"/>
      <c r="W21" s="1325"/>
      <c r="X21" s="1326">
        <v>17</v>
      </c>
      <c r="Y21" s="1982"/>
      <c r="Z21" s="1964"/>
      <c r="AA21" s="1959">
        <v>23.56</v>
      </c>
      <c r="AB21" s="1964">
        <v>24</v>
      </c>
      <c r="AC21" s="1967">
        <v>24.44</v>
      </c>
      <c r="AD21" s="1959">
        <v>24.87</v>
      </c>
      <c r="AE21" s="1964"/>
      <c r="AF21" s="1959"/>
      <c r="AG21" s="1964"/>
      <c r="AH21" s="1967"/>
      <c r="AI21" s="1983"/>
      <c r="AJ21" s="1984"/>
      <c r="AK21" s="1985"/>
      <c r="AL21" s="1985"/>
      <c r="AM21" s="1985"/>
      <c r="AN21" s="1324"/>
      <c r="AO21" s="1324"/>
      <c r="AP21" s="1324"/>
      <c r="AQ21" s="1324"/>
      <c r="AR21" s="1324"/>
      <c r="AS21" s="1324"/>
      <c r="AT21" s="1324"/>
      <c r="AU21" s="1325"/>
      <c r="AV21" s="1327"/>
    </row>
    <row r="22" spans="1:48">
      <c r="A22" s="1941"/>
      <c r="B22" s="1954"/>
      <c r="C22" s="1959">
        <v>40.9</v>
      </c>
      <c r="D22" s="1964">
        <v>41.56</v>
      </c>
      <c r="E22" s="1967">
        <v>42.21</v>
      </c>
      <c r="F22" s="1959">
        <v>42.87</v>
      </c>
      <c r="G22" s="1964"/>
      <c r="H22" s="1959"/>
      <c r="I22" s="1964"/>
      <c r="J22" s="1967"/>
      <c r="K22" s="1983"/>
      <c r="L22" s="1964"/>
      <c r="M22" s="1964"/>
      <c r="N22" s="1985"/>
      <c r="O22" s="1985"/>
      <c r="P22" s="1985"/>
      <c r="Q22" s="1324"/>
      <c r="R22" s="1324"/>
      <c r="S22" s="1324"/>
      <c r="T22" s="1324"/>
      <c r="U22" s="1324"/>
      <c r="V22" s="1324"/>
      <c r="W22" s="1325"/>
      <c r="X22" s="1326">
        <v>18</v>
      </c>
      <c r="Y22" s="1982"/>
      <c r="Z22" s="1964"/>
      <c r="AA22" s="1959">
        <v>24.91</v>
      </c>
      <c r="AB22" s="1964">
        <v>25.38</v>
      </c>
      <c r="AC22" s="1967">
        <v>25.84</v>
      </c>
      <c r="AD22" s="1959">
        <v>26.3</v>
      </c>
      <c r="AE22" s="1964"/>
      <c r="AF22" s="1959"/>
      <c r="AG22" s="1964"/>
      <c r="AH22" s="1967"/>
      <c r="AI22" s="1983"/>
      <c r="AJ22" s="1984"/>
      <c r="AK22" s="1985"/>
      <c r="AL22" s="1985"/>
      <c r="AM22" s="1985"/>
      <c r="AN22" s="1324"/>
      <c r="AO22" s="1324"/>
      <c r="AP22" s="1324"/>
      <c r="AQ22" s="1324"/>
      <c r="AR22" s="1324"/>
      <c r="AS22" s="1324"/>
      <c r="AT22" s="1324"/>
      <c r="AU22" s="1325"/>
      <c r="AV22" s="1327"/>
    </row>
    <row r="23" spans="1:48">
      <c r="A23" s="1941"/>
      <c r="B23" s="1952"/>
      <c r="C23" s="1959">
        <v>43.11</v>
      </c>
      <c r="D23" s="1964">
        <v>43.8</v>
      </c>
      <c r="E23" s="1967">
        <v>44.49</v>
      </c>
      <c r="F23" s="1959">
        <v>45.18</v>
      </c>
      <c r="G23" s="1964"/>
      <c r="H23" s="1959"/>
      <c r="I23" s="1964"/>
      <c r="J23" s="1967"/>
      <c r="K23" s="1983"/>
      <c r="L23" s="1964"/>
      <c r="M23" s="1964"/>
      <c r="N23" s="1985"/>
      <c r="O23" s="1985"/>
      <c r="P23" s="1985"/>
      <c r="Q23" s="1324"/>
      <c r="R23" s="1324"/>
      <c r="S23" s="1324"/>
      <c r="T23" s="1324"/>
      <c r="U23" s="1324"/>
      <c r="V23" s="1324"/>
      <c r="W23" s="1325"/>
      <c r="X23" s="1326">
        <v>19</v>
      </c>
      <c r="Y23" s="1982"/>
      <c r="Z23" s="1964"/>
      <c r="AA23" s="1959">
        <v>26.26</v>
      </c>
      <c r="AB23" s="1964">
        <v>26.75</v>
      </c>
      <c r="AC23" s="1967">
        <v>27.24</v>
      </c>
      <c r="AD23" s="1959">
        <v>27.73</v>
      </c>
      <c r="AE23" s="1964"/>
      <c r="AF23" s="1959"/>
      <c r="AG23" s="1964"/>
      <c r="AH23" s="1967"/>
      <c r="AI23" s="1983"/>
      <c r="AJ23" s="1984"/>
      <c r="AK23" s="1985"/>
      <c r="AL23" s="1985"/>
      <c r="AM23" s="1985"/>
      <c r="AN23" s="1324"/>
      <c r="AO23" s="1324"/>
      <c r="AP23" s="1324"/>
      <c r="AQ23" s="1324"/>
      <c r="AR23" s="1324"/>
      <c r="AS23" s="1324"/>
      <c r="AT23" s="1324"/>
      <c r="AU23" s="1325"/>
      <c r="AV23" s="1327"/>
    </row>
    <row r="24" spans="1:48">
      <c r="A24" s="1941"/>
      <c r="B24" s="1952"/>
      <c r="C24" s="1959">
        <v>45.31</v>
      </c>
      <c r="D24" s="1964">
        <v>46.04</v>
      </c>
      <c r="E24" s="1967">
        <v>46.77</v>
      </c>
      <c r="F24" s="1959">
        <v>47.5</v>
      </c>
      <c r="G24" s="1964"/>
      <c r="H24" s="1959"/>
      <c r="I24" s="1964"/>
      <c r="J24" s="1967"/>
      <c r="K24" s="1983"/>
      <c r="L24" s="1964"/>
      <c r="M24" s="1964"/>
      <c r="N24" s="1985"/>
      <c r="O24" s="1985"/>
      <c r="P24" s="1985"/>
      <c r="Q24" s="1324"/>
      <c r="R24" s="1324"/>
      <c r="S24" s="1324"/>
      <c r="T24" s="1324"/>
      <c r="U24" s="1324"/>
      <c r="V24" s="1324"/>
      <c r="W24" s="1325"/>
      <c r="X24" s="1326">
        <v>20</v>
      </c>
      <c r="Y24" s="1982"/>
      <c r="Z24" s="1964"/>
      <c r="AA24" s="1959">
        <v>27.61</v>
      </c>
      <c r="AB24" s="1964">
        <v>28.13</v>
      </c>
      <c r="AC24" s="1967">
        <v>28.64</v>
      </c>
      <c r="AD24" s="1959">
        <v>29.15</v>
      </c>
      <c r="AE24" s="1964"/>
      <c r="AF24" s="1959"/>
      <c r="AG24" s="1964"/>
      <c r="AH24" s="1967"/>
      <c r="AI24" s="1983"/>
      <c r="AJ24" s="1984"/>
      <c r="AK24" s="1985"/>
      <c r="AL24" s="1985"/>
      <c r="AM24" s="1985"/>
      <c r="AN24" s="1324"/>
      <c r="AO24" s="1324"/>
      <c r="AP24" s="1324"/>
      <c r="AQ24" s="1324"/>
      <c r="AR24" s="1324"/>
      <c r="AS24" s="1324"/>
      <c r="AT24" s="1324"/>
      <c r="AU24" s="1325"/>
      <c r="AV24" s="1327"/>
    </row>
    <row r="25" spans="1:48">
      <c r="A25" s="1941"/>
      <c r="B25" s="1952"/>
      <c r="C25" s="1959">
        <v>47.51</v>
      </c>
      <c r="D25" s="1964">
        <v>48.28</v>
      </c>
      <c r="E25" s="1967">
        <v>49.04</v>
      </c>
      <c r="F25" s="1959">
        <v>49.8</v>
      </c>
      <c r="G25" s="1964"/>
      <c r="H25" s="1959"/>
      <c r="I25" s="1964"/>
      <c r="J25" s="1967"/>
      <c r="K25" s="1983"/>
      <c r="L25" s="1964"/>
      <c r="M25" s="1964"/>
      <c r="N25" s="1985"/>
      <c r="O25" s="1985"/>
      <c r="P25" s="1985"/>
      <c r="Q25" s="1324"/>
      <c r="R25" s="1324"/>
      <c r="S25" s="1324"/>
      <c r="T25" s="1324"/>
      <c r="U25" s="1324"/>
      <c r="V25" s="1324"/>
      <c r="W25" s="1325"/>
      <c r="X25" s="1326">
        <v>21</v>
      </c>
      <c r="Y25" s="1982"/>
      <c r="Z25" s="1964"/>
      <c r="AA25" s="1959">
        <v>28.96</v>
      </c>
      <c r="AB25" s="1964">
        <v>29.5</v>
      </c>
      <c r="AC25" s="1967">
        <v>30.04</v>
      </c>
      <c r="AD25" s="1959">
        <v>30.58</v>
      </c>
      <c r="AE25" s="1964"/>
      <c r="AF25" s="1959"/>
      <c r="AG25" s="1964"/>
      <c r="AH25" s="1967"/>
      <c r="AI25" s="1983"/>
      <c r="AJ25" s="1984"/>
      <c r="AK25" s="1985"/>
      <c r="AL25" s="1985"/>
      <c r="AM25" s="1985"/>
      <c r="AN25" s="1324"/>
      <c r="AO25" s="1324"/>
      <c r="AP25" s="1324"/>
      <c r="AQ25" s="1324"/>
      <c r="AR25" s="1324"/>
      <c r="AS25" s="1324"/>
      <c r="AT25" s="1324"/>
      <c r="AU25" s="1325"/>
      <c r="AV25" s="1327"/>
    </row>
    <row r="26" spans="1:48">
      <c r="A26" s="1942"/>
      <c r="B26" s="1954"/>
      <c r="C26" s="1959">
        <v>49.72</v>
      </c>
      <c r="D26" s="1964">
        <v>50.52</v>
      </c>
      <c r="E26" s="1967">
        <v>51.32</v>
      </c>
      <c r="F26" s="1959">
        <v>52.12</v>
      </c>
      <c r="G26" s="1964"/>
      <c r="H26" s="1959"/>
      <c r="I26" s="1964"/>
      <c r="J26" s="1967"/>
      <c r="K26" s="1983"/>
      <c r="L26" s="1964"/>
      <c r="M26" s="1964"/>
      <c r="N26" s="1985"/>
      <c r="O26" s="1985"/>
      <c r="P26" s="1985"/>
      <c r="Q26" s="1324"/>
      <c r="R26" s="1324"/>
      <c r="S26" s="1324"/>
      <c r="T26" s="1324"/>
      <c r="U26" s="1324"/>
      <c r="V26" s="1324"/>
      <c r="W26" s="1325"/>
      <c r="X26" s="1326">
        <v>22</v>
      </c>
      <c r="Y26" s="1982"/>
      <c r="Z26" s="1964"/>
      <c r="AA26" s="1959">
        <v>30.31</v>
      </c>
      <c r="AB26" s="1964">
        <v>30.88</v>
      </c>
      <c r="AC26" s="1967">
        <v>31.44</v>
      </c>
      <c r="AD26" s="1959">
        <v>32.01</v>
      </c>
      <c r="AE26" s="1964"/>
      <c r="AF26" s="1959"/>
      <c r="AG26" s="1964"/>
      <c r="AH26" s="1967"/>
      <c r="AI26" s="1983"/>
      <c r="AJ26" s="1984"/>
      <c r="AK26" s="1985"/>
      <c r="AL26" s="1985"/>
      <c r="AM26" s="1985"/>
      <c r="AN26" s="1324"/>
      <c r="AO26" s="1324"/>
      <c r="AP26" s="1324"/>
      <c r="AQ26" s="1324"/>
      <c r="AR26" s="1324"/>
      <c r="AS26" s="1324"/>
      <c r="AT26" s="1324"/>
      <c r="AU26" s="1325"/>
      <c r="AV26" s="1327"/>
    </row>
    <row r="27" spans="1:48">
      <c r="A27" s="1941"/>
      <c r="B27" s="1954"/>
      <c r="C27" s="1959">
        <v>51.91</v>
      </c>
      <c r="D27" s="1964">
        <v>52.75</v>
      </c>
      <c r="E27" s="1967">
        <v>53.59</v>
      </c>
      <c r="F27" s="1959">
        <v>54.43</v>
      </c>
      <c r="G27" s="1964"/>
      <c r="H27" s="1959"/>
      <c r="I27" s="1964"/>
      <c r="J27" s="1967"/>
      <c r="K27" s="1983"/>
      <c r="L27" s="1964"/>
      <c r="M27" s="1964"/>
      <c r="N27" s="1985"/>
      <c r="O27" s="1985"/>
      <c r="P27" s="1985"/>
      <c r="Q27" s="1324"/>
      <c r="R27" s="1324"/>
      <c r="S27" s="1324"/>
      <c r="T27" s="1324"/>
      <c r="U27" s="1324"/>
      <c r="V27" s="1324"/>
      <c r="W27" s="1325"/>
      <c r="X27" s="1326">
        <v>23</v>
      </c>
      <c r="Y27" s="1982"/>
      <c r="Z27" s="1964"/>
      <c r="AA27" s="1959">
        <v>31.66</v>
      </c>
      <c r="AB27" s="1964">
        <v>32.25</v>
      </c>
      <c r="AC27" s="1967">
        <v>32.85</v>
      </c>
      <c r="AD27" s="1959">
        <v>33.44</v>
      </c>
      <c r="AE27" s="1964"/>
      <c r="AF27" s="1959"/>
      <c r="AG27" s="1964"/>
      <c r="AH27" s="1967"/>
      <c r="AI27" s="1983"/>
      <c r="AJ27" s="1984"/>
      <c r="AK27" s="1985"/>
      <c r="AL27" s="1985"/>
      <c r="AM27" s="1985"/>
      <c r="AN27" s="1324"/>
      <c r="AO27" s="1324"/>
      <c r="AP27" s="1324"/>
      <c r="AQ27" s="1324"/>
      <c r="AR27" s="1324"/>
      <c r="AS27" s="1324"/>
      <c r="AT27" s="1324"/>
      <c r="AU27" s="1325"/>
      <c r="AV27" s="1327"/>
    </row>
    <row r="28" spans="1:48">
      <c r="A28" s="1941"/>
      <c r="B28" s="1954"/>
      <c r="C28" s="1959">
        <v>54.12</v>
      </c>
      <c r="D28" s="1964">
        <v>55</v>
      </c>
      <c r="E28" s="1967">
        <v>55.87</v>
      </c>
      <c r="F28" s="1959">
        <v>56.74</v>
      </c>
      <c r="G28" s="1964"/>
      <c r="H28" s="1959"/>
      <c r="I28" s="1964"/>
      <c r="J28" s="1967"/>
      <c r="K28" s="1983"/>
      <c r="L28" s="1964"/>
      <c r="M28" s="1964"/>
      <c r="N28" s="1985"/>
      <c r="O28" s="1985"/>
      <c r="P28" s="1985"/>
      <c r="Q28" s="1324"/>
      <c r="R28" s="1324"/>
      <c r="S28" s="1324"/>
      <c r="T28" s="1324"/>
      <c r="U28" s="1324"/>
      <c r="V28" s="1324"/>
      <c r="W28" s="1325"/>
      <c r="X28" s="1326">
        <v>24</v>
      </c>
      <c r="Y28" s="1982"/>
      <c r="Z28" s="1964"/>
      <c r="AA28" s="1959">
        <v>33.01</v>
      </c>
      <c r="AB28" s="1964">
        <v>33.630000000000003</v>
      </c>
      <c r="AC28" s="1967">
        <v>34.24</v>
      </c>
      <c r="AD28" s="1959">
        <v>34.86</v>
      </c>
      <c r="AE28" s="1964"/>
      <c r="AF28" s="1959"/>
      <c r="AG28" s="1964"/>
      <c r="AH28" s="1967"/>
      <c r="AI28" s="1983"/>
      <c r="AJ28" s="1984"/>
      <c r="AK28" s="1985"/>
      <c r="AL28" s="1985"/>
      <c r="AM28" s="1985"/>
      <c r="AN28" s="1324"/>
      <c r="AO28" s="1324"/>
      <c r="AP28" s="1324"/>
      <c r="AQ28" s="1324"/>
      <c r="AR28" s="1324"/>
      <c r="AS28" s="1324"/>
      <c r="AT28" s="1324"/>
      <c r="AU28" s="1325"/>
      <c r="AV28" s="1327"/>
    </row>
    <row r="29" spans="1:48">
      <c r="A29" s="1941"/>
      <c r="B29" s="1954"/>
      <c r="C29" s="1959">
        <v>56.33</v>
      </c>
      <c r="D29" s="1964">
        <v>57.24</v>
      </c>
      <c r="E29" s="1967">
        <v>58.15</v>
      </c>
      <c r="F29" s="1959">
        <v>59.06</v>
      </c>
      <c r="G29" s="1964"/>
      <c r="H29" s="1959"/>
      <c r="I29" s="1964"/>
      <c r="J29" s="1967"/>
      <c r="K29" s="1983"/>
      <c r="L29" s="1964"/>
      <c r="M29" s="1964"/>
      <c r="N29" s="1985"/>
      <c r="O29" s="1985"/>
      <c r="P29" s="1985"/>
      <c r="Q29" s="1324"/>
      <c r="R29" s="1324"/>
      <c r="S29" s="1324"/>
      <c r="T29" s="1324"/>
      <c r="U29" s="1324"/>
      <c r="V29" s="1324"/>
      <c r="W29" s="1325"/>
      <c r="X29" s="1326">
        <v>25</v>
      </c>
      <c r="Y29" s="1982"/>
      <c r="Z29" s="1964"/>
      <c r="AA29" s="1959">
        <v>34.36</v>
      </c>
      <c r="AB29" s="1964">
        <v>35</v>
      </c>
      <c r="AC29" s="1967">
        <v>35.65</v>
      </c>
      <c r="AD29" s="1959">
        <v>36.29</v>
      </c>
      <c r="AE29" s="1964"/>
      <c r="AF29" s="1959"/>
      <c r="AG29" s="1964"/>
      <c r="AH29" s="1967"/>
      <c r="AI29" s="1983"/>
      <c r="AJ29" s="1984"/>
      <c r="AK29" s="1985"/>
      <c r="AL29" s="1985"/>
      <c r="AM29" s="1985"/>
      <c r="AN29" s="1324"/>
      <c r="AO29" s="1324"/>
      <c r="AP29" s="1324"/>
      <c r="AQ29" s="1324"/>
      <c r="AR29" s="1324"/>
      <c r="AS29" s="1324"/>
      <c r="AT29" s="1324"/>
      <c r="AU29" s="1325"/>
      <c r="AV29" s="1327"/>
    </row>
    <row r="30" spans="1:48">
      <c r="A30" s="1941"/>
      <c r="B30" s="1954"/>
      <c r="C30" s="1959">
        <v>58.53</v>
      </c>
      <c r="D30" s="1964">
        <v>59.48</v>
      </c>
      <c r="E30" s="1967">
        <v>60.42</v>
      </c>
      <c r="F30" s="1959">
        <v>61.37</v>
      </c>
      <c r="G30" s="1964"/>
      <c r="H30" s="1959"/>
      <c r="I30" s="1964"/>
      <c r="J30" s="1967"/>
      <c r="K30" s="1983"/>
      <c r="L30" s="1964"/>
      <c r="M30" s="1964"/>
      <c r="N30" s="1985"/>
      <c r="O30" s="1985"/>
      <c r="P30" s="1985"/>
      <c r="Q30" s="1324"/>
      <c r="R30" s="1324"/>
      <c r="S30" s="1324"/>
      <c r="T30" s="1324"/>
      <c r="U30" s="1324"/>
      <c r="V30" s="1324"/>
      <c r="W30" s="1325"/>
      <c r="X30" s="1326">
        <v>26</v>
      </c>
      <c r="Y30" s="1982"/>
      <c r="Z30" s="1964"/>
      <c r="AA30" s="1959">
        <v>35.71</v>
      </c>
      <c r="AB30" s="1964">
        <v>36.380000000000003</v>
      </c>
      <c r="AC30" s="1967">
        <v>37.04</v>
      </c>
      <c r="AD30" s="1959">
        <v>37.71</v>
      </c>
      <c r="AE30" s="1964"/>
      <c r="AF30" s="1959"/>
      <c r="AG30" s="1964"/>
      <c r="AH30" s="1967"/>
      <c r="AI30" s="1983"/>
      <c r="AJ30" s="1984"/>
      <c r="AK30" s="1985"/>
      <c r="AL30" s="1985"/>
      <c r="AM30" s="1985"/>
      <c r="AN30" s="1324"/>
      <c r="AO30" s="1324"/>
      <c r="AP30" s="1324"/>
      <c r="AQ30" s="1324"/>
      <c r="AR30" s="1324"/>
      <c r="AS30" s="1324"/>
      <c r="AT30" s="1324"/>
      <c r="AU30" s="1325"/>
      <c r="AV30" s="1327"/>
    </row>
    <row r="31" spans="1:48">
      <c r="A31" s="1941"/>
      <c r="B31" s="1949"/>
      <c r="C31" s="1959">
        <v>60.73</v>
      </c>
      <c r="D31" s="1964">
        <v>61.72</v>
      </c>
      <c r="E31" s="1967">
        <v>62.7</v>
      </c>
      <c r="F31" s="1959">
        <v>63.68</v>
      </c>
      <c r="G31" s="1964"/>
      <c r="H31" s="1959"/>
      <c r="I31" s="1964"/>
      <c r="J31" s="1967"/>
      <c r="K31" s="1983"/>
      <c r="L31" s="1964"/>
      <c r="M31" s="1964"/>
      <c r="N31" s="1985"/>
      <c r="O31" s="1985"/>
      <c r="P31" s="1985"/>
      <c r="Q31" s="1324"/>
      <c r="R31" s="1324"/>
      <c r="S31" s="1324"/>
      <c r="T31" s="1324"/>
      <c r="U31" s="1324"/>
      <c r="V31" s="1324"/>
      <c r="W31" s="1325"/>
      <c r="X31" s="1326">
        <v>27</v>
      </c>
      <c r="Y31" s="1982"/>
      <c r="Z31" s="1964"/>
      <c r="AA31" s="1959">
        <v>37.06</v>
      </c>
      <c r="AB31" s="1964">
        <v>37.75</v>
      </c>
      <c r="AC31" s="1967">
        <v>38.450000000000003</v>
      </c>
      <c r="AD31" s="1959">
        <v>39.14</v>
      </c>
      <c r="AE31" s="1964"/>
      <c r="AF31" s="1959"/>
      <c r="AG31" s="1964"/>
      <c r="AH31" s="1967"/>
      <c r="AI31" s="1983"/>
      <c r="AJ31" s="1984"/>
      <c r="AK31" s="1985"/>
      <c r="AL31" s="1985"/>
      <c r="AM31" s="1985"/>
      <c r="AN31" s="1324"/>
      <c r="AO31" s="1324"/>
      <c r="AP31" s="1324"/>
      <c r="AQ31" s="1324"/>
      <c r="AR31" s="1324"/>
      <c r="AS31" s="1324"/>
      <c r="AT31" s="1324"/>
      <c r="AU31" s="1325"/>
      <c r="AV31" s="1327"/>
    </row>
    <row r="32" spans="1:48" ht="18.75" customHeight="1">
      <c r="A32" s="1941"/>
      <c r="B32" s="1954"/>
      <c r="C32" s="1959">
        <v>62.94</v>
      </c>
      <c r="D32" s="1964">
        <v>63.96</v>
      </c>
      <c r="E32" s="1967">
        <v>64.98</v>
      </c>
      <c r="F32" s="1959">
        <v>66</v>
      </c>
      <c r="G32" s="1964"/>
      <c r="H32" s="1959"/>
      <c r="I32" s="1964"/>
      <c r="J32" s="1967"/>
      <c r="K32" s="1983"/>
      <c r="L32" s="1964"/>
      <c r="M32" s="1964"/>
      <c r="N32" s="1985"/>
      <c r="O32" s="1985"/>
      <c r="P32" s="1985"/>
      <c r="Q32" s="1324"/>
      <c r="R32" s="1324"/>
      <c r="S32" s="1324"/>
      <c r="T32" s="1324"/>
      <c r="U32" s="1324"/>
      <c r="V32" s="1324"/>
      <c r="W32" s="1325"/>
      <c r="X32" s="1326">
        <v>28</v>
      </c>
      <c r="Y32" s="1982"/>
      <c r="Z32" s="1964"/>
      <c r="AA32" s="1959">
        <v>38.409999999999997</v>
      </c>
      <c r="AB32" s="1964">
        <v>39.130000000000003</v>
      </c>
      <c r="AC32" s="1967">
        <v>39.85</v>
      </c>
      <c r="AD32" s="1959">
        <v>40.57</v>
      </c>
      <c r="AE32" s="1964"/>
      <c r="AF32" s="1959"/>
      <c r="AG32" s="1964"/>
      <c r="AH32" s="1967"/>
      <c r="AI32" s="1983"/>
      <c r="AJ32" s="1984"/>
      <c r="AK32" s="1985"/>
      <c r="AL32" s="1985"/>
      <c r="AM32" s="1985"/>
      <c r="AN32" s="1324"/>
      <c r="AO32" s="1324"/>
      <c r="AP32" s="1324"/>
      <c r="AQ32" s="1324"/>
      <c r="AR32" s="1324"/>
      <c r="AS32" s="1324"/>
      <c r="AT32" s="1324"/>
      <c r="AU32" s="1325"/>
      <c r="AV32" s="1327"/>
    </row>
    <row r="33" spans="1:48">
      <c r="A33" s="1941"/>
      <c r="B33" s="1954"/>
      <c r="C33" s="1959">
        <v>65.13</v>
      </c>
      <c r="D33" s="1964">
        <v>66.180000000000007</v>
      </c>
      <c r="E33" s="1967">
        <v>67.239999999999995</v>
      </c>
      <c r="F33" s="1959">
        <v>68.290000000000006</v>
      </c>
      <c r="G33" s="1964"/>
      <c r="H33" s="1959"/>
      <c r="I33" s="1964"/>
      <c r="J33" s="1967"/>
      <c r="K33" s="1983"/>
      <c r="L33" s="1964"/>
      <c r="M33" s="1964"/>
      <c r="N33" s="1985"/>
      <c r="O33" s="1985"/>
      <c r="P33" s="1985"/>
      <c r="Q33" s="1324"/>
      <c r="R33" s="1324"/>
      <c r="S33" s="1324"/>
      <c r="T33" s="1324"/>
      <c r="U33" s="1324"/>
      <c r="V33" s="1324"/>
      <c r="W33" s="1325"/>
      <c r="X33" s="1326">
        <v>29</v>
      </c>
      <c r="Y33" s="1982"/>
      <c r="Z33" s="1964"/>
      <c r="AA33" s="1959">
        <v>39.76</v>
      </c>
      <c r="AB33" s="1964">
        <v>40.5</v>
      </c>
      <c r="AC33" s="1967">
        <v>41.25</v>
      </c>
      <c r="AD33" s="1959">
        <v>41.99</v>
      </c>
      <c r="AE33" s="1964"/>
      <c r="AF33" s="1959"/>
      <c r="AG33" s="1964"/>
      <c r="AH33" s="1967"/>
      <c r="AI33" s="1983"/>
      <c r="AJ33" s="1984"/>
      <c r="AK33" s="1985"/>
      <c r="AL33" s="1985"/>
      <c r="AM33" s="1985"/>
      <c r="AN33" s="1324"/>
      <c r="AO33" s="1324"/>
      <c r="AP33" s="1324"/>
      <c r="AQ33" s="1324"/>
      <c r="AR33" s="1324"/>
      <c r="AS33" s="1324"/>
      <c r="AT33" s="1324"/>
      <c r="AU33" s="1325"/>
      <c r="AV33" s="1327"/>
    </row>
    <row r="34" spans="1:48">
      <c r="A34" s="1941"/>
      <c r="B34" s="1954"/>
      <c r="C34" s="1959">
        <v>67.34</v>
      </c>
      <c r="D34" s="1964">
        <v>68.430000000000007</v>
      </c>
      <c r="E34" s="1967">
        <v>69.53</v>
      </c>
      <c r="F34" s="1959">
        <v>70.62</v>
      </c>
      <c r="G34" s="1964"/>
      <c r="H34" s="1959"/>
      <c r="I34" s="1964"/>
      <c r="J34" s="1967"/>
      <c r="K34" s="1983"/>
      <c r="L34" s="1964"/>
      <c r="M34" s="1964"/>
      <c r="N34" s="1985"/>
      <c r="O34" s="1985"/>
      <c r="P34" s="1985"/>
      <c r="Q34" s="1324"/>
      <c r="R34" s="1324"/>
      <c r="S34" s="1324"/>
      <c r="T34" s="1324"/>
      <c r="U34" s="1324"/>
      <c r="V34" s="1324"/>
      <c r="W34" s="1325"/>
      <c r="X34" s="1326">
        <v>30</v>
      </c>
      <c r="Y34" s="1982"/>
      <c r="Z34" s="1964"/>
      <c r="AA34" s="1959">
        <v>41.11</v>
      </c>
      <c r="AB34" s="1964">
        <v>41.88</v>
      </c>
      <c r="AC34" s="1967">
        <v>42.65</v>
      </c>
      <c r="AD34" s="1959">
        <v>43.42</v>
      </c>
      <c r="AE34" s="1964"/>
      <c r="AF34" s="1959"/>
      <c r="AG34" s="1964"/>
      <c r="AH34" s="1967"/>
      <c r="AI34" s="1983"/>
      <c r="AJ34" s="1984"/>
      <c r="AK34" s="1985"/>
      <c r="AL34" s="1985"/>
      <c r="AM34" s="1985"/>
      <c r="AN34" s="1324"/>
      <c r="AO34" s="1324"/>
      <c r="AP34" s="1324"/>
      <c r="AQ34" s="1324"/>
      <c r="AR34" s="1324"/>
      <c r="AS34" s="1324"/>
      <c r="AT34" s="1324"/>
      <c r="AU34" s="1325"/>
      <c r="AV34" s="1327"/>
    </row>
    <row r="35" spans="1:48">
      <c r="A35" s="1941"/>
      <c r="B35" s="1952"/>
      <c r="C35" s="1959">
        <v>69.53</v>
      </c>
      <c r="D35" s="1964">
        <v>70.66</v>
      </c>
      <c r="E35" s="1967">
        <v>71.790000000000006</v>
      </c>
      <c r="F35" s="1959">
        <v>72.92</v>
      </c>
      <c r="G35" s="1964"/>
      <c r="H35" s="1959"/>
      <c r="I35" s="1964"/>
      <c r="J35" s="1967"/>
      <c r="K35" s="1983"/>
      <c r="L35" s="1964"/>
      <c r="M35" s="1964"/>
      <c r="N35" s="1985"/>
      <c r="O35" s="1985"/>
      <c r="P35" s="1985"/>
      <c r="Q35" s="1324"/>
      <c r="R35" s="1324"/>
      <c r="S35" s="1324"/>
      <c r="T35" s="1324"/>
      <c r="U35" s="1324"/>
      <c r="V35" s="1324"/>
      <c r="W35" s="1325"/>
      <c r="X35" s="1326">
        <v>31</v>
      </c>
      <c r="Y35" s="1982"/>
      <c r="Z35" s="1964"/>
      <c r="AA35" s="1959">
        <v>42.46</v>
      </c>
      <c r="AB35" s="1964">
        <v>43.25</v>
      </c>
      <c r="AC35" s="1967">
        <v>44.05</v>
      </c>
      <c r="AD35" s="1959">
        <v>44.85</v>
      </c>
      <c r="AE35" s="1964"/>
      <c r="AF35" s="1959"/>
      <c r="AG35" s="1964"/>
      <c r="AH35" s="1967"/>
      <c r="AI35" s="1983"/>
      <c r="AJ35" s="1984"/>
      <c r="AK35" s="1985"/>
      <c r="AL35" s="1985"/>
      <c r="AM35" s="1985"/>
      <c r="AN35" s="1324"/>
      <c r="AO35" s="1324"/>
      <c r="AP35" s="1324"/>
      <c r="AQ35" s="1324"/>
      <c r="AR35" s="1324"/>
      <c r="AS35" s="1324"/>
      <c r="AT35" s="1324"/>
      <c r="AU35" s="1325"/>
      <c r="AV35" s="1327"/>
    </row>
    <row r="36" spans="1:48">
      <c r="A36" s="1941"/>
      <c r="B36" s="1954"/>
      <c r="C36" s="1959">
        <v>71.75</v>
      </c>
      <c r="D36" s="1964">
        <v>72.91</v>
      </c>
      <c r="E36" s="1967">
        <v>74.08</v>
      </c>
      <c r="F36" s="1959">
        <v>75.239999999999995</v>
      </c>
      <c r="G36" s="1964"/>
      <c r="H36" s="1959"/>
      <c r="I36" s="1964"/>
      <c r="J36" s="1967"/>
      <c r="K36" s="1983"/>
      <c r="L36" s="1964"/>
      <c r="M36" s="1964"/>
      <c r="N36" s="1985"/>
      <c r="O36" s="1985"/>
      <c r="P36" s="1985"/>
      <c r="Q36" s="1324"/>
      <c r="R36" s="1324"/>
      <c r="S36" s="1324"/>
      <c r="T36" s="1324"/>
      <c r="U36" s="1324"/>
      <c r="V36" s="1324"/>
      <c r="W36" s="1325"/>
      <c r="X36" s="1326">
        <v>32</v>
      </c>
      <c r="Y36" s="1982"/>
      <c r="Z36" s="1964"/>
      <c r="AA36" s="1959">
        <v>43.81</v>
      </c>
      <c r="AB36" s="1964">
        <v>44.63</v>
      </c>
      <c r="AC36" s="1967">
        <v>45.45</v>
      </c>
      <c r="AD36" s="1959">
        <v>46.27</v>
      </c>
      <c r="AE36" s="1964"/>
      <c r="AF36" s="1959"/>
      <c r="AG36" s="1964"/>
      <c r="AH36" s="1967"/>
      <c r="AI36" s="1983"/>
      <c r="AJ36" s="1984"/>
      <c r="AK36" s="1985"/>
      <c r="AL36" s="1985"/>
      <c r="AM36" s="1985"/>
      <c r="AN36" s="1324"/>
      <c r="AO36" s="1324"/>
      <c r="AP36" s="1324"/>
      <c r="AQ36" s="1324"/>
      <c r="AR36" s="1324"/>
      <c r="AS36" s="1324"/>
      <c r="AT36" s="1324"/>
      <c r="AU36" s="1325"/>
      <c r="AV36" s="1327"/>
    </row>
    <row r="37" spans="1:48">
      <c r="A37" s="1941"/>
      <c r="B37" s="1954"/>
      <c r="C37" s="1959">
        <v>73.95</v>
      </c>
      <c r="D37" s="1964">
        <v>75.150000000000006</v>
      </c>
      <c r="E37" s="1967">
        <v>76.349999999999994</v>
      </c>
      <c r="F37" s="1959">
        <v>77.55</v>
      </c>
      <c r="G37" s="1964"/>
      <c r="H37" s="1959"/>
      <c r="I37" s="1964"/>
      <c r="J37" s="1967"/>
      <c r="K37" s="1983"/>
      <c r="L37" s="1964"/>
      <c r="M37" s="1964"/>
      <c r="N37" s="1985"/>
      <c r="O37" s="1985"/>
      <c r="P37" s="1985"/>
      <c r="Q37" s="1324"/>
      <c r="R37" s="1324"/>
      <c r="S37" s="1324"/>
      <c r="T37" s="1324"/>
      <c r="U37" s="1324"/>
      <c r="V37" s="1324"/>
      <c r="W37" s="1325"/>
      <c r="X37" s="1326">
        <v>33</v>
      </c>
      <c r="Y37" s="1982"/>
      <c r="Z37" s="1964"/>
      <c r="AA37" s="1959">
        <v>45.16</v>
      </c>
      <c r="AB37" s="1964">
        <v>46</v>
      </c>
      <c r="AC37" s="1967">
        <v>46.85</v>
      </c>
      <c r="AD37" s="1959">
        <v>47.7</v>
      </c>
      <c r="AE37" s="1964"/>
      <c r="AF37" s="1959"/>
      <c r="AG37" s="1964"/>
      <c r="AH37" s="1967"/>
      <c r="AI37" s="1983"/>
      <c r="AJ37" s="1984"/>
      <c r="AK37" s="1985"/>
      <c r="AL37" s="1985"/>
      <c r="AM37" s="1985"/>
      <c r="AN37" s="1324"/>
      <c r="AO37" s="1324"/>
      <c r="AP37" s="1324"/>
      <c r="AQ37" s="1324"/>
      <c r="AR37" s="1324"/>
      <c r="AS37" s="1324"/>
      <c r="AT37" s="1324"/>
      <c r="AU37" s="1325"/>
      <c r="AV37" s="1327"/>
    </row>
    <row r="38" spans="1:48">
      <c r="A38" s="1941"/>
      <c r="B38" s="1952"/>
      <c r="C38" s="1959">
        <v>76.16</v>
      </c>
      <c r="D38" s="1964">
        <v>77.400000000000006</v>
      </c>
      <c r="E38" s="1967">
        <v>78.63</v>
      </c>
      <c r="F38" s="1959">
        <v>79.87</v>
      </c>
      <c r="G38" s="1964"/>
      <c r="H38" s="1959"/>
      <c r="I38" s="1964"/>
      <c r="J38" s="1967"/>
      <c r="K38" s="1983"/>
      <c r="L38" s="1964"/>
      <c r="M38" s="1964"/>
      <c r="N38" s="1985"/>
      <c r="O38" s="1985"/>
      <c r="P38" s="1985"/>
      <c r="Q38" s="1324"/>
      <c r="R38" s="1324"/>
      <c r="S38" s="1324"/>
      <c r="T38" s="1324"/>
      <c r="U38" s="1324"/>
      <c r="V38" s="1324"/>
      <c r="W38" s="1325"/>
      <c r="X38" s="1326">
        <v>34</v>
      </c>
      <c r="Y38" s="1982"/>
      <c r="Z38" s="1964"/>
      <c r="AA38" s="1959">
        <v>46.51</v>
      </c>
      <c r="AB38" s="1964">
        <v>47.38</v>
      </c>
      <c r="AC38" s="1967">
        <v>48.25</v>
      </c>
      <c r="AD38" s="1959">
        <v>49.13</v>
      </c>
      <c r="AE38" s="1964"/>
      <c r="AF38" s="1959"/>
      <c r="AG38" s="1964"/>
      <c r="AH38" s="1967"/>
      <c r="AI38" s="1983"/>
      <c r="AJ38" s="1984"/>
      <c r="AK38" s="1985"/>
      <c r="AL38" s="1985"/>
      <c r="AM38" s="1985"/>
      <c r="AN38" s="1324"/>
      <c r="AO38" s="1324"/>
      <c r="AP38" s="1324"/>
      <c r="AQ38" s="1324"/>
      <c r="AR38" s="1324"/>
      <c r="AS38" s="1324"/>
      <c r="AT38" s="1324"/>
      <c r="AU38" s="1325"/>
      <c r="AV38" s="1327"/>
    </row>
    <row r="39" spans="1:48">
      <c r="A39" s="1941"/>
      <c r="B39" s="1952"/>
      <c r="C39" s="1959">
        <v>78.349999999999994</v>
      </c>
      <c r="D39" s="1964">
        <v>79.62</v>
      </c>
      <c r="E39" s="1967">
        <v>80.89</v>
      </c>
      <c r="F39" s="1959">
        <v>82.17</v>
      </c>
      <c r="G39" s="1964"/>
      <c r="H39" s="1959"/>
      <c r="I39" s="1964"/>
      <c r="J39" s="1967"/>
      <c r="K39" s="1983"/>
      <c r="L39" s="1964"/>
      <c r="M39" s="1964"/>
      <c r="N39" s="1985"/>
      <c r="O39" s="1985"/>
      <c r="P39" s="1985"/>
      <c r="Q39" s="1324"/>
      <c r="R39" s="1324"/>
      <c r="S39" s="1324"/>
      <c r="T39" s="1324"/>
      <c r="U39" s="1324"/>
      <c r="V39" s="1324"/>
      <c r="W39" s="1325"/>
      <c r="X39" s="1326">
        <v>35</v>
      </c>
      <c r="Y39" s="1982"/>
      <c r="Z39" s="1964"/>
      <c r="AA39" s="1959">
        <v>47.85</v>
      </c>
      <c r="AB39" s="1964">
        <v>48.75</v>
      </c>
      <c r="AC39" s="1967">
        <v>49.65</v>
      </c>
      <c r="AD39" s="1959">
        <v>50.55</v>
      </c>
      <c r="AE39" s="1964"/>
      <c r="AF39" s="1959"/>
      <c r="AG39" s="1964"/>
      <c r="AH39" s="1967"/>
      <c r="AI39" s="1983"/>
      <c r="AJ39" s="1984"/>
      <c r="AK39" s="1985"/>
      <c r="AL39" s="1985"/>
      <c r="AM39" s="1985"/>
      <c r="AN39" s="1324"/>
      <c r="AO39" s="1324"/>
      <c r="AP39" s="1324"/>
      <c r="AQ39" s="1324"/>
      <c r="AR39" s="1324"/>
      <c r="AS39" s="1324"/>
      <c r="AT39" s="1324"/>
      <c r="AU39" s="1325"/>
      <c r="AV39" s="1327"/>
    </row>
    <row r="40" spans="1:48">
      <c r="A40" s="1941"/>
      <c r="B40" s="1954"/>
      <c r="C40" s="1959">
        <v>80.56</v>
      </c>
      <c r="D40" s="1964">
        <v>81.87</v>
      </c>
      <c r="E40" s="1967">
        <v>83.18</v>
      </c>
      <c r="F40" s="1959">
        <v>84.49</v>
      </c>
      <c r="G40" s="1964"/>
      <c r="H40" s="1959"/>
      <c r="I40" s="1964"/>
      <c r="J40" s="1967"/>
      <c r="K40" s="1983"/>
      <c r="L40" s="1964"/>
      <c r="M40" s="1964"/>
      <c r="N40" s="1985"/>
      <c r="O40" s="1985"/>
      <c r="P40" s="1985"/>
      <c r="Q40" s="1324"/>
      <c r="R40" s="1324"/>
      <c r="S40" s="1324"/>
      <c r="T40" s="1324"/>
      <c r="U40" s="1324"/>
      <c r="V40" s="1324"/>
      <c r="W40" s="1325"/>
      <c r="X40" s="1326">
        <v>36</v>
      </c>
      <c r="Y40" s="1982"/>
      <c r="Z40" s="1964"/>
      <c r="AA40" s="1959">
        <v>49.21</v>
      </c>
      <c r="AB40" s="1964">
        <v>50.13</v>
      </c>
      <c r="AC40" s="1967">
        <v>51.06</v>
      </c>
      <c r="AD40" s="1959">
        <v>51.98</v>
      </c>
      <c r="AE40" s="1964"/>
      <c r="AF40" s="1959"/>
      <c r="AG40" s="1964"/>
      <c r="AH40" s="1967"/>
      <c r="AI40" s="1983"/>
      <c r="AJ40" s="1984"/>
      <c r="AK40" s="1985"/>
      <c r="AL40" s="1985"/>
      <c r="AM40" s="1985"/>
      <c r="AN40" s="1324"/>
      <c r="AO40" s="1324"/>
      <c r="AP40" s="1324"/>
      <c r="AQ40" s="1324"/>
      <c r="AR40" s="1324"/>
      <c r="AS40" s="1324"/>
      <c r="AT40" s="1324"/>
      <c r="AU40" s="1325"/>
      <c r="AV40" s="1327"/>
    </row>
    <row r="41" spans="1:48">
      <c r="A41" s="1941"/>
      <c r="B41" s="1954"/>
      <c r="C41" s="1959">
        <v>82.77</v>
      </c>
      <c r="D41" s="1964">
        <v>84.11</v>
      </c>
      <c r="E41" s="1967">
        <v>85.46</v>
      </c>
      <c r="F41" s="1959">
        <v>86.81</v>
      </c>
      <c r="G41" s="1964"/>
      <c r="H41" s="1959"/>
      <c r="I41" s="1964"/>
      <c r="J41" s="1967"/>
      <c r="K41" s="1983"/>
      <c r="L41" s="1964"/>
      <c r="M41" s="1964"/>
      <c r="N41" s="1985"/>
      <c r="O41" s="1985"/>
      <c r="P41" s="1985"/>
      <c r="Q41" s="1324"/>
      <c r="R41" s="1324"/>
      <c r="S41" s="1324"/>
      <c r="T41" s="1324"/>
      <c r="U41" s="1324"/>
      <c r="V41" s="1324"/>
      <c r="W41" s="1325"/>
      <c r="X41" s="1326">
        <v>37</v>
      </c>
      <c r="Y41" s="1982"/>
      <c r="Z41" s="1964"/>
      <c r="AA41" s="1959">
        <v>50.55</v>
      </c>
      <c r="AB41" s="1964">
        <v>51.5</v>
      </c>
      <c r="AC41" s="1967">
        <v>52.45</v>
      </c>
      <c r="AD41" s="1959">
        <v>53.41</v>
      </c>
      <c r="AE41" s="1964"/>
      <c r="AF41" s="1959"/>
      <c r="AG41" s="1964"/>
      <c r="AH41" s="1967"/>
      <c r="AI41" s="1983"/>
      <c r="AJ41" s="1984"/>
      <c r="AK41" s="1985"/>
      <c r="AL41" s="1985"/>
      <c r="AM41" s="1985"/>
      <c r="AN41" s="1324"/>
      <c r="AO41" s="1324"/>
      <c r="AP41" s="1324"/>
      <c r="AQ41" s="1324"/>
      <c r="AR41" s="1324"/>
      <c r="AS41" s="1324"/>
      <c r="AT41" s="1324"/>
      <c r="AU41" s="1325"/>
      <c r="AV41" s="1327"/>
    </row>
    <row r="42" spans="1:48">
      <c r="A42" s="1941"/>
      <c r="B42" s="1954"/>
      <c r="C42" s="1959">
        <v>84.97</v>
      </c>
      <c r="D42" s="1964">
        <v>86.35</v>
      </c>
      <c r="E42" s="1967">
        <v>87.74</v>
      </c>
      <c r="F42" s="1959">
        <v>89.12</v>
      </c>
      <c r="G42" s="1964"/>
      <c r="H42" s="1959"/>
      <c r="I42" s="1964"/>
      <c r="J42" s="1967"/>
      <c r="K42" s="1983"/>
      <c r="L42" s="1964"/>
      <c r="M42" s="1964"/>
      <c r="N42" s="1985"/>
      <c r="O42" s="1985"/>
      <c r="P42" s="1985"/>
      <c r="Q42" s="1324"/>
      <c r="R42" s="1324"/>
      <c r="S42" s="1324"/>
      <c r="T42" s="1324"/>
      <c r="U42" s="1324"/>
      <c r="V42" s="1324"/>
      <c r="W42" s="1325"/>
      <c r="X42" s="1326">
        <v>38</v>
      </c>
      <c r="Y42" s="1982"/>
      <c r="Z42" s="1964"/>
      <c r="AA42" s="1959">
        <v>51.9</v>
      </c>
      <c r="AB42" s="1964">
        <v>52.88</v>
      </c>
      <c r="AC42" s="1967">
        <v>53.86</v>
      </c>
      <c r="AD42" s="1959">
        <v>54.83</v>
      </c>
      <c r="AE42" s="1964"/>
      <c r="AF42" s="1959"/>
      <c r="AG42" s="1964"/>
      <c r="AH42" s="1967"/>
      <c r="AI42" s="1983"/>
      <c r="AJ42" s="1984"/>
      <c r="AK42" s="1985"/>
      <c r="AL42" s="1985"/>
      <c r="AM42" s="1985"/>
      <c r="AN42" s="1324"/>
      <c r="AO42" s="1324"/>
      <c r="AP42" s="1324"/>
      <c r="AQ42" s="1324"/>
      <c r="AR42" s="1324"/>
      <c r="AS42" s="1324"/>
      <c r="AT42" s="1324"/>
      <c r="AU42" s="1325"/>
      <c r="AV42" s="1327"/>
    </row>
    <row r="43" spans="1:48">
      <c r="A43" s="1941"/>
      <c r="B43" s="1952"/>
      <c r="C43" s="1959">
        <v>87.17</v>
      </c>
      <c r="D43" s="1964">
        <v>88.59</v>
      </c>
      <c r="E43" s="1967">
        <v>90.01</v>
      </c>
      <c r="F43" s="1959">
        <v>91.43</v>
      </c>
      <c r="G43" s="1964"/>
      <c r="H43" s="1959"/>
      <c r="I43" s="1964"/>
      <c r="J43" s="1967"/>
      <c r="K43" s="1983"/>
      <c r="L43" s="1964"/>
      <c r="M43" s="1964"/>
      <c r="N43" s="1985"/>
      <c r="O43" s="1985"/>
      <c r="P43" s="1985"/>
      <c r="Q43" s="1324"/>
      <c r="R43" s="1324"/>
      <c r="S43" s="1324"/>
      <c r="T43" s="1324"/>
      <c r="U43" s="1324"/>
      <c r="V43" s="1324"/>
      <c r="W43" s="1325"/>
      <c r="X43" s="1326">
        <v>39</v>
      </c>
      <c r="Y43" s="1982"/>
      <c r="Z43" s="1964"/>
      <c r="AA43" s="1959">
        <v>53.26</v>
      </c>
      <c r="AB43" s="1964">
        <v>54.26</v>
      </c>
      <c r="AC43" s="1967">
        <v>55.26</v>
      </c>
      <c r="AD43" s="1959">
        <v>56.27</v>
      </c>
      <c r="AE43" s="1964"/>
      <c r="AF43" s="1959"/>
      <c r="AG43" s="1964"/>
      <c r="AH43" s="1967"/>
      <c r="AI43" s="1983"/>
      <c r="AJ43" s="1984"/>
      <c r="AK43" s="1985"/>
      <c r="AL43" s="1985"/>
      <c r="AM43" s="1985"/>
      <c r="AN43" s="1324"/>
      <c r="AO43" s="1324"/>
      <c r="AP43" s="1324"/>
      <c r="AQ43" s="1324"/>
      <c r="AR43" s="1324"/>
      <c r="AS43" s="1324"/>
      <c r="AT43" s="1324"/>
      <c r="AU43" s="1325"/>
      <c r="AV43" s="1327"/>
    </row>
    <row r="44" spans="1:48">
      <c r="A44" s="1941"/>
      <c r="B44" s="1952"/>
      <c r="C44" s="1959">
        <v>89.37</v>
      </c>
      <c r="D44" s="1964">
        <v>90.82</v>
      </c>
      <c r="E44" s="1967">
        <v>92.28</v>
      </c>
      <c r="F44" s="1959">
        <v>93.73</v>
      </c>
      <c r="G44" s="1964"/>
      <c r="H44" s="1959"/>
      <c r="I44" s="1964"/>
      <c r="J44" s="1967"/>
      <c r="K44" s="1983"/>
      <c r="L44" s="1964"/>
      <c r="M44" s="1964"/>
      <c r="N44" s="1985"/>
      <c r="O44" s="1985"/>
      <c r="P44" s="1985"/>
      <c r="Q44" s="1324"/>
      <c r="R44" s="1324"/>
      <c r="S44" s="1324"/>
      <c r="T44" s="1324"/>
      <c r="U44" s="1324"/>
      <c r="V44" s="1324"/>
      <c r="W44" s="1325"/>
      <c r="X44" s="1326">
        <v>40</v>
      </c>
      <c r="Y44" s="1982"/>
      <c r="Z44" s="1964"/>
      <c r="AA44" s="1959">
        <v>54.6</v>
      </c>
      <c r="AB44" s="1964">
        <v>55.63</v>
      </c>
      <c r="AC44" s="1967">
        <v>56.66</v>
      </c>
      <c r="AD44" s="1959">
        <v>57.69</v>
      </c>
      <c r="AE44" s="1964"/>
      <c r="AF44" s="1959"/>
      <c r="AG44" s="1964"/>
      <c r="AH44" s="1967"/>
      <c r="AI44" s="1983"/>
      <c r="AJ44" s="1984"/>
      <c r="AK44" s="1985"/>
      <c r="AL44" s="1985"/>
      <c r="AM44" s="1985"/>
      <c r="AN44" s="1324"/>
      <c r="AO44" s="1324"/>
      <c r="AP44" s="1324"/>
      <c r="AQ44" s="1324"/>
      <c r="AR44" s="1324"/>
      <c r="AS44" s="1324"/>
      <c r="AT44" s="1324"/>
      <c r="AU44" s="1325"/>
      <c r="AV44" s="1327"/>
    </row>
    <row r="45" spans="1:48">
      <c r="A45" s="1941"/>
      <c r="B45" s="1954"/>
      <c r="C45" s="1959">
        <v>91.58</v>
      </c>
      <c r="D45" s="1964">
        <v>93.07</v>
      </c>
      <c r="E45" s="1967">
        <v>94.57</v>
      </c>
      <c r="F45" s="1959">
        <v>96.06</v>
      </c>
      <c r="G45" s="1964"/>
      <c r="H45" s="1959"/>
      <c r="I45" s="1964"/>
      <c r="J45" s="1967"/>
      <c r="K45" s="1983"/>
      <c r="L45" s="1964"/>
      <c r="M45" s="1964"/>
      <c r="N45" s="1985"/>
      <c r="O45" s="1985"/>
      <c r="P45" s="1985"/>
      <c r="Q45" s="1324"/>
      <c r="R45" s="1324"/>
      <c r="S45" s="1324"/>
      <c r="T45" s="1324"/>
      <c r="U45" s="1324"/>
      <c r="V45" s="1324"/>
      <c r="W45" s="1325"/>
      <c r="X45" s="1326">
        <v>41</v>
      </c>
      <c r="Y45" s="1982"/>
      <c r="Z45" s="1964"/>
      <c r="AA45" s="1959">
        <v>55.95</v>
      </c>
      <c r="AB45" s="1964">
        <v>57.01</v>
      </c>
      <c r="AC45" s="1967">
        <v>58.06</v>
      </c>
      <c r="AD45" s="1959">
        <v>59.11</v>
      </c>
      <c r="AE45" s="1964"/>
      <c r="AF45" s="1959"/>
      <c r="AG45" s="1964"/>
      <c r="AH45" s="1967"/>
      <c r="AI45" s="1983"/>
      <c r="AJ45" s="1984"/>
      <c r="AK45" s="1985"/>
      <c r="AL45" s="1985"/>
      <c r="AM45" s="1985"/>
      <c r="AN45" s="1324"/>
      <c r="AO45" s="1324"/>
      <c r="AP45" s="1324"/>
      <c r="AQ45" s="1324"/>
      <c r="AR45" s="1324"/>
      <c r="AS45" s="1324"/>
      <c r="AT45" s="1324"/>
      <c r="AU45" s="1325"/>
      <c r="AV45" s="1327"/>
    </row>
    <row r="46" spans="1:48">
      <c r="A46" s="1941"/>
      <c r="B46" s="1952"/>
      <c r="C46" s="1959">
        <v>93.79</v>
      </c>
      <c r="D46" s="1964">
        <v>95.31</v>
      </c>
      <c r="E46" s="1967">
        <v>96.84</v>
      </c>
      <c r="F46" s="1959">
        <v>98.37</v>
      </c>
      <c r="G46" s="1964"/>
      <c r="H46" s="1959"/>
      <c r="I46" s="1964"/>
      <c r="J46" s="1967"/>
      <c r="K46" s="1983"/>
      <c r="L46" s="1964"/>
      <c r="M46" s="1964"/>
      <c r="N46" s="1985"/>
      <c r="O46" s="1985"/>
      <c r="P46" s="1985"/>
      <c r="Q46" s="1324"/>
      <c r="R46" s="1324"/>
      <c r="S46" s="1324"/>
      <c r="T46" s="1324"/>
      <c r="U46" s="1324"/>
      <c r="V46" s="1324"/>
      <c r="W46" s="1325"/>
      <c r="X46" s="1326">
        <v>42</v>
      </c>
      <c r="Y46" s="1982"/>
      <c r="Z46" s="1964"/>
      <c r="AA46" s="1959">
        <v>57.31</v>
      </c>
      <c r="AB46" s="1964">
        <v>58.39</v>
      </c>
      <c r="AC46" s="1967">
        <v>59.47</v>
      </c>
      <c r="AD46" s="1959">
        <v>60.555</v>
      </c>
      <c r="AE46" s="1964"/>
      <c r="AF46" s="1959"/>
      <c r="AG46" s="1964"/>
      <c r="AH46" s="1967"/>
      <c r="AI46" s="1983"/>
      <c r="AJ46" s="1984"/>
      <c r="AK46" s="1985"/>
      <c r="AL46" s="1985"/>
      <c r="AM46" s="1985"/>
      <c r="AN46" s="1324"/>
      <c r="AO46" s="1324"/>
      <c r="AP46" s="1324"/>
      <c r="AQ46" s="1324"/>
      <c r="AR46" s="1324"/>
      <c r="AS46" s="1324"/>
      <c r="AT46" s="1324"/>
      <c r="AU46" s="1325"/>
      <c r="AV46" s="1327"/>
    </row>
    <row r="47" spans="1:48">
      <c r="A47" s="1941"/>
      <c r="B47" s="1952"/>
      <c r="C47" s="1959">
        <v>95.98</v>
      </c>
      <c r="D47" s="1964">
        <v>97.54</v>
      </c>
      <c r="E47" s="1967">
        <v>99.11</v>
      </c>
      <c r="F47" s="1959">
        <v>100.67</v>
      </c>
      <c r="G47" s="1964"/>
      <c r="H47" s="1959"/>
      <c r="I47" s="1964"/>
      <c r="J47" s="1967"/>
      <c r="K47" s="1983"/>
      <c r="L47" s="1964"/>
      <c r="M47" s="1964"/>
      <c r="N47" s="1985"/>
      <c r="O47" s="1985"/>
      <c r="P47" s="1985"/>
      <c r="Q47" s="1324"/>
      <c r="R47" s="1324"/>
      <c r="S47" s="1324"/>
      <c r="T47" s="1324"/>
      <c r="U47" s="1324"/>
      <c r="V47" s="1324"/>
      <c r="W47" s="1325"/>
      <c r="X47" s="1326">
        <v>43</v>
      </c>
      <c r="Y47" s="1982"/>
      <c r="Z47" s="1964"/>
      <c r="AA47" s="1959">
        <v>58.65</v>
      </c>
      <c r="AB47" s="1964">
        <v>59.75</v>
      </c>
      <c r="AC47" s="1967">
        <v>60.86</v>
      </c>
      <c r="AD47" s="1959">
        <v>61.96</v>
      </c>
      <c r="AE47" s="1964"/>
      <c r="AF47" s="1959"/>
      <c r="AG47" s="1964"/>
      <c r="AH47" s="1967"/>
      <c r="AI47" s="1983"/>
      <c r="AJ47" s="1984"/>
      <c r="AK47" s="1985"/>
      <c r="AL47" s="1985"/>
      <c r="AM47" s="1985"/>
      <c r="AN47" s="1324"/>
      <c r="AO47" s="1324"/>
      <c r="AP47" s="1324"/>
      <c r="AQ47" s="1324"/>
      <c r="AR47" s="1324"/>
      <c r="AS47" s="1324"/>
      <c r="AT47" s="1324"/>
      <c r="AU47" s="1325"/>
      <c r="AV47" s="1327"/>
    </row>
    <row r="48" spans="1:48">
      <c r="A48" s="1941"/>
      <c r="B48" s="1954"/>
      <c r="C48" s="1959">
        <v>98.19</v>
      </c>
      <c r="D48" s="1964">
        <v>99.79</v>
      </c>
      <c r="E48" s="1967">
        <v>101.39</v>
      </c>
      <c r="F48" s="1959">
        <v>102.99</v>
      </c>
      <c r="G48" s="1964"/>
      <c r="H48" s="1959"/>
      <c r="I48" s="1964"/>
      <c r="J48" s="1967"/>
      <c r="K48" s="1983"/>
      <c r="L48" s="1964"/>
      <c r="M48" s="1964"/>
      <c r="N48" s="1985"/>
      <c r="O48" s="1985"/>
      <c r="P48" s="1985"/>
      <c r="Q48" s="1324"/>
      <c r="R48" s="1324"/>
      <c r="S48" s="1324"/>
      <c r="T48" s="1324"/>
      <c r="U48" s="1324"/>
      <c r="V48" s="1324"/>
      <c r="W48" s="1325"/>
      <c r="X48" s="1326">
        <v>44</v>
      </c>
      <c r="Y48" s="1982"/>
      <c r="Z48" s="1964"/>
      <c r="AA48" s="1959">
        <v>60</v>
      </c>
      <c r="AB48" s="1964">
        <v>61.13</v>
      </c>
      <c r="AC48" s="1967">
        <v>62.27</v>
      </c>
      <c r="AD48" s="1959">
        <v>63.4</v>
      </c>
      <c r="AE48" s="1964"/>
      <c r="AF48" s="1959"/>
      <c r="AG48" s="1964"/>
      <c r="AH48" s="1967"/>
      <c r="AI48" s="1983"/>
      <c r="AJ48" s="1984"/>
      <c r="AK48" s="1985"/>
      <c r="AL48" s="1985"/>
      <c r="AM48" s="1985"/>
      <c r="AN48" s="1324"/>
      <c r="AO48" s="1324"/>
      <c r="AP48" s="1324"/>
      <c r="AQ48" s="1324"/>
      <c r="AR48" s="1324"/>
      <c r="AS48" s="1324"/>
      <c r="AT48" s="1324"/>
      <c r="AU48" s="1325"/>
      <c r="AV48" s="1327"/>
    </row>
    <row r="49" spans="1:48">
      <c r="A49" s="1941"/>
      <c r="B49" s="1952"/>
      <c r="C49" s="1959">
        <v>100.38</v>
      </c>
      <c r="D49" s="1964">
        <v>102.02</v>
      </c>
      <c r="E49" s="1967">
        <v>103.66</v>
      </c>
      <c r="F49" s="1959">
        <v>105.3</v>
      </c>
      <c r="G49" s="1964"/>
      <c r="H49" s="1959"/>
      <c r="I49" s="1964"/>
      <c r="J49" s="1967"/>
      <c r="K49" s="1983"/>
      <c r="L49" s="1964"/>
      <c r="M49" s="1964"/>
      <c r="N49" s="1985"/>
      <c r="O49" s="1985"/>
      <c r="P49" s="1985"/>
      <c r="Q49" s="1324"/>
      <c r="R49" s="1324"/>
      <c r="S49" s="1324"/>
      <c r="T49" s="1324"/>
      <c r="U49" s="1324"/>
      <c r="V49" s="1324"/>
      <c r="W49" s="1325"/>
      <c r="X49" s="1326">
        <v>45</v>
      </c>
      <c r="Y49" s="1982"/>
      <c r="Z49" s="1964"/>
      <c r="AA49" s="1959">
        <v>61.35</v>
      </c>
      <c r="AB49" s="1964">
        <v>62.51</v>
      </c>
      <c r="AC49" s="1983">
        <v>63.67</v>
      </c>
      <c r="AD49" s="1959">
        <v>64.819999999999993</v>
      </c>
      <c r="AE49" s="1964"/>
      <c r="AF49" s="1959"/>
      <c r="AG49" s="1964"/>
      <c r="AH49" s="1983"/>
      <c r="AI49" s="1983"/>
      <c r="AJ49" s="1984"/>
      <c r="AK49" s="1985"/>
      <c r="AL49" s="1985"/>
      <c r="AM49" s="1985"/>
      <c r="AN49" s="1324"/>
      <c r="AO49" s="1324"/>
      <c r="AP49" s="1324"/>
      <c r="AQ49" s="1324"/>
      <c r="AR49" s="1324"/>
      <c r="AS49" s="1324"/>
      <c r="AT49" s="1324"/>
      <c r="AU49" s="1325"/>
      <c r="AV49" s="1327"/>
    </row>
    <row r="50" spans="1:48">
      <c r="A50" s="1941"/>
      <c r="B50" s="1952"/>
      <c r="C50" s="1959">
        <v>102.59</v>
      </c>
      <c r="D50" s="1964">
        <v>104.27</v>
      </c>
      <c r="E50" s="1967">
        <v>105.94</v>
      </c>
      <c r="F50" s="1959">
        <v>107.62</v>
      </c>
      <c r="G50" s="1964"/>
      <c r="H50" s="1959"/>
      <c r="I50" s="1964"/>
      <c r="J50" s="1967"/>
      <c r="K50" s="1983"/>
      <c r="L50" s="1964"/>
      <c r="M50" s="1964"/>
      <c r="N50" s="1985"/>
      <c r="O50" s="1985"/>
      <c r="P50" s="1985"/>
      <c r="Q50" s="1324"/>
      <c r="R50" s="1324"/>
      <c r="S50" s="1324"/>
      <c r="T50" s="1324"/>
      <c r="U50" s="1324"/>
      <c r="V50" s="1324"/>
      <c r="W50" s="1325"/>
      <c r="X50" s="1326">
        <v>46</v>
      </c>
      <c r="Y50" s="1982"/>
      <c r="Z50" s="1964"/>
      <c r="AA50" s="1959">
        <v>62.71</v>
      </c>
      <c r="AB50" s="1964">
        <v>63.89</v>
      </c>
      <c r="AC50" s="1983">
        <v>65.069999999999993</v>
      </c>
      <c r="AD50" s="1959">
        <v>66.25</v>
      </c>
      <c r="AE50" s="1964"/>
      <c r="AF50" s="1959"/>
      <c r="AG50" s="1964"/>
      <c r="AH50" s="1983"/>
      <c r="AI50" s="1983"/>
      <c r="AJ50" s="1984"/>
      <c r="AK50" s="1985"/>
      <c r="AL50" s="1985"/>
      <c r="AM50" s="1985"/>
      <c r="AN50" s="1324"/>
      <c r="AO50" s="1324"/>
      <c r="AP50" s="1324"/>
      <c r="AQ50" s="1324"/>
      <c r="AR50" s="1324"/>
      <c r="AS50" s="1324"/>
      <c r="AT50" s="1324"/>
      <c r="AU50" s="1325"/>
      <c r="AV50" s="1327"/>
    </row>
    <row r="51" spans="1:48">
      <c r="A51" s="1941"/>
      <c r="B51" s="1952"/>
      <c r="C51" s="1959">
        <v>104.79</v>
      </c>
      <c r="D51" s="1964">
        <v>106.5</v>
      </c>
      <c r="E51" s="1967">
        <v>108.21</v>
      </c>
      <c r="F51" s="1959">
        <v>109.92</v>
      </c>
      <c r="G51" s="1964"/>
      <c r="H51" s="1959"/>
      <c r="I51" s="1964"/>
      <c r="J51" s="1967"/>
      <c r="K51" s="1983"/>
      <c r="L51" s="1964"/>
      <c r="M51" s="1964"/>
      <c r="N51" s="1985"/>
      <c r="O51" s="1985"/>
      <c r="P51" s="1985"/>
      <c r="Q51" s="1324"/>
      <c r="R51" s="1324"/>
      <c r="S51" s="1324"/>
      <c r="T51" s="1324"/>
      <c r="U51" s="1324"/>
      <c r="V51" s="1324"/>
      <c r="W51" s="1325"/>
      <c r="X51" s="1326">
        <v>47</v>
      </c>
      <c r="Y51" s="1982"/>
      <c r="Z51" s="1964"/>
      <c r="AA51" s="1959">
        <v>64.06</v>
      </c>
      <c r="AB51" s="1964">
        <v>65.260000000000005</v>
      </c>
      <c r="AC51" s="1983">
        <v>66.47</v>
      </c>
      <c r="AD51" s="1959">
        <v>67.680000000000007</v>
      </c>
      <c r="AE51" s="1964"/>
      <c r="AF51" s="1959"/>
      <c r="AG51" s="1964"/>
      <c r="AH51" s="1983"/>
      <c r="AI51" s="1983"/>
      <c r="AJ51" s="1984"/>
      <c r="AK51" s="1985"/>
      <c r="AL51" s="1985"/>
      <c r="AM51" s="1985"/>
      <c r="AN51" s="1324"/>
      <c r="AO51" s="1324"/>
      <c r="AP51" s="1324"/>
      <c r="AQ51" s="1324"/>
      <c r="AR51" s="1324"/>
      <c r="AS51" s="1324"/>
      <c r="AT51" s="1324"/>
      <c r="AU51" s="1325"/>
      <c r="AV51" s="1327"/>
    </row>
    <row r="52" spans="1:48">
      <c r="A52" s="1941"/>
      <c r="B52" s="1954"/>
      <c r="C52" s="1959">
        <v>107</v>
      </c>
      <c r="D52" s="1964">
        <v>108.74</v>
      </c>
      <c r="E52" s="1967">
        <v>110.49</v>
      </c>
      <c r="F52" s="1959">
        <v>112.24</v>
      </c>
      <c r="G52" s="1964"/>
      <c r="H52" s="1959"/>
      <c r="I52" s="1964"/>
      <c r="J52" s="1967"/>
      <c r="K52" s="1983"/>
      <c r="L52" s="1964"/>
      <c r="M52" s="1964"/>
      <c r="N52" s="1985"/>
      <c r="O52" s="1985"/>
      <c r="P52" s="1985"/>
      <c r="Q52" s="1324"/>
      <c r="R52" s="1324"/>
      <c r="S52" s="1324"/>
      <c r="T52" s="1324"/>
      <c r="U52" s="1324"/>
      <c r="V52" s="1324"/>
      <c r="W52" s="1325"/>
      <c r="X52" s="1326">
        <v>48</v>
      </c>
      <c r="Y52" s="1982"/>
      <c r="Z52" s="1964"/>
      <c r="AA52" s="1959">
        <v>65.400000000000006</v>
      </c>
      <c r="AB52" s="1964">
        <v>66.63</v>
      </c>
      <c r="AC52" s="1983">
        <v>67.86</v>
      </c>
      <c r="AD52" s="1959">
        <v>69.099999999999994</v>
      </c>
      <c r="AE52" s="1964"/>
      <c r="AF52" s="1959"/>
      <c r="AG52" s="1964"/>
      <c r="AH52" s="1983"/>
      <c r="AI52" s="1983"/>
      <c r="AJ52" s="1984"/>
      <c r="AK52" s="1985"/>
      <c r="AL52" s="1985"/>
      <c r="AM52" s="1985"/>
      <c r="AN52" s="1324"/>
      <c r="AO52" s="1324"/>
      <c r="AP52" s="1324"/>
      <c r="AQ52" s="1324"/>
      <c r="AR52" s="1324"/>
      <c r="AS52" s="1324"/>
      <c r="AT52" s="1324"/>
      <c r="AU52" s="1325"/>
      <c r="AV52" s="1327"/>
    </row>
    <row r="53" spans="1:48">
      <c r="A53" s="1941"/>
      <c r="B53" s="1952"/>
      <c r="C53" s="1959">
        <v>109.18</v>
      </c>
      <c r="D53" s="1964">
        <v>110.96</v>
      </c>
      <c r="E53" s="1967">
        <v>112.75</v>
      </c>
      <c r="F53" s="1959">
        <v>114.53</v>
      </c>
      <c r="G53" s="1964"/>
      <c r="H53" s="1959"/>
      <c r="I53" s="1964"/>
      <c r="J53" s="1967"/>
      <c r="K53" s="1983"/>
      <c r="L53" s="1964"/>
      <c r="M53" s="1964"/>
      <c r="N53" s="1985"/>
      <c r="O53" s="1985"/>
      <c r="P53" s="1985"/>
      <c r="Q53" s="1324"/>
      <c r="R53" s="1324"/>
      <c r="S53" s="1324"/>
      <c r="T53" s="1324"/>
      <c r="U53" s="1324"/>
      <c r="V53" s="1324"/>
      <c r="W53" s="1325"/>
      <c r="X53" s="1326">
        <v>49</v>
      </c>
      <c r="Y53" s="1982"/>
      <c r="Z53" s="1964"/>
      <c r="AA53" s="1959">
        <v>66.75</v>
      </c>
      <c r="AB53" s="1964">
        <v>68.010000000000005</v>
      </c>
      <c r="AC53" s="1983">
        <v>69.27</v>
      </c>
      <c r="AD53" s="1959">
        <v>70.53</v>
      </c>
      <c r="AE53" s="1964"/>
      <c r="AF53" s="1959"/>
      <c r="AG53" s="1964"/>
      <c r="AH53" s="1983"/>
      <c r="AI53" s="1983"/>
      <c r="AJ53" s="1984"/>
      <c r="AK53" s="1985"/>
      <c r="AL53" s="1985"/>
      <c r="AM53" s="1985"/>
      <c r="AN53" s="1324"/>
      <c r="AO53" s="1324"/>
      <c r="AP53" s="1324"/>
      <c r="AQ53" s="1324"/>
      <c r="AR53" s="1324"/>
      <c r="AS53" s="1324"/>
      <c r="AT53" s="1324"/>
      <c r="AU53" s="1325"/>
      <c r="AV53" s="1327"/>
    </row>
    <row r="54" spans="1:48">
      <c r="A54" s="1941"/>
      <c r="B54" s="1952"/>
      <c r="C54" s="1959">
        <v>111.38</v>
      </c>
      <c r="D54" s="1964">
        <v>113.2</v>
      </c>
      <c r="E54" s="1967">
        <v>115.02</v>
      </c>
      <c r="F54" s="1959">
        <v>116.84</v>
      </c>
      <c r="G54" s="1964"/>
      <c r="H54" s="1959"/>
      <c r="I54" s="1964"/>
      <c r="J54" s="1967"/>
      <c r="K54" s="1983"/>
      <c r="L54" s="1964"/>
      <c r="M54" s="1964"/>
      <c r="N54" s="1985"/>
      <c r="O54" s="1985"/>
      <c r="P54" s="1985"/>
      <c r="Q54" s="1324"/>
      <c r="R54" s="1324"/>
      <c r="S54" s="1324"/>
      <c r="T54" s="1324"/>
      <c r="U54" s="1324"/>
      <c r="V54" s="1324"/>
      <c r="W54" s="1325"/>
      <c r="X54" s="1326">
        <v>50</v>
      </c>
      <c r="Y54" s="1982"/>
      <c r="Z54" s="1964"/>
      <c r="AA54" s="1959">
        <v>68.099999999999994</v>
      </c>
      <c r="AB54" s="1964">
        <v>69.39</v>
      </c>
      <c r="AC54" s="1983">
        <v>70.67</v>
      </c>
      <c r="AD54" s="1959">
        <v>71.959999999999994</v>
      </c>
      <c r="AE54" s="1964"/>
      <c r="AF54" s="1959"/>
      <c r="AG54" s="1964"/>
      <c r="AH54" s="1983"/>
      <c r="AI54" s="1983"/>
      <c r="AJ54" s="1984"/>
      <c r="AK54" s="1985"/>
      <c r="AL54" s="1985"/>
      <c r="AM54" s="1985"/>
      <c r="AN54" s="1324"/>
      <c r="AO54" s="1324"/>
      <c r="AP54" s="1324"/>
      <c r="AQ54" s="1324"/>
      <c r="AR54" s="1324"/>
      <c r="AS54" s="1324"/>
      <c r="AT54" s="1324"/>
      <c r="AU54" s="1325"/>
      <c r="AV54" s="1327"/>
    </row>
    <row r="55" spans="1:48">
      <c r="A55" s="1941"/>
      <c r="B55" s="1952"/>
      <c r="C55" s="1959">
        <v>113.6</v>
      </c>
      <c r="D55" s="1964">
        <v>115.46</v>
      </c>
      <c r="E55" s="1967">
        <v>117.31</v>
      </c>
      <c r="F55" s="1959">
        <v>119.17</v>
      </c>
      <c r="G55" s="1964"/>
      <c r="H55" s="1959"/>
      <c r="I55" s="1964"/>
      <c r="J55" s="1967"/>
      <c r="K55" s="1983"/>
      <c r="L55" s="1964"/>
      <c r="M55" s="1964"/>
      <c r="N55" s="1985"/>
      <c r="O55" s="1985"/>
      <c r="P55" s="1985"/>
      <c r="Q55" s="1324"/>
      <c r="R55" s="1324"/>
      <c r="S55" s="1324"/>
      <c r="T55" s="1324"/>
      <c r="U55" s="1324"/>
      <c r="V55" s="1324"/>
      <c r="W55" s="1325"/>
      <c r="X55" s="1326">
        <v>51</v>
      </c>
      <c r="Y55" s="1982"/>
      <c r="Z55" s="1964"/>
      <c r="AA55" s="1959">
        <v>69.45</v>
      </c>
      <c r="AB55" s="1964">
        <v>70.760000000000005</v>
      </c>
      <c r="AC55" s="1983">
        <v>72.08</v>
      </c>
      <c r="AD55" s="1959">
        <v>73.39</v>
      </c>
      <c r="AE55" s="1964"/>
      <c r="AF55" s="1959"/>
      <c r="AG55" s="1964"/>
      <c r="AH55" s="1983"/>
      <c r="AI55" s="1983"/>
      <c r="AJ55" s="1984"/>
      <c r="AK55" s="1985"/>
      <c r="AL55" s="1985"/>
      <c r="AM55" s="1985"/>
      <c r="AN55" s="1324"/>
      <c r="AO55" s="1324"/>
      <c r="AP55" s="1324"/>
      <c r="AQ55" s="1324"/>
      <c r="AR55" s="1324"/>
      <c r="AS55" s="1324"/>
      <c r="AT55" s="1324"/>
      <c r="AU55" s="1325"/>
      <c r="AV55" s="1327"/>
    </row>
    <row r="56" spans="1:48">
      <c r="A56" s="1941"/>
      <c r="B56" s="1952"/>
      <c r="C56" s="1959">
        <v>115.79</v>
      </c>
      <c r="D56" s="1964">
        <v>117.68</v>
      </c>
      <c r="E56" s="1967">
        <v>119.57</v>
      </c>
      <c r="F56" s="1959">
        <v>121.47</v>
      </c>
      <c r="G56" s="1964"/>
      <c r="H56" s="1959"/>
      <c r="I56" s="1964"/>
      <c r="J56" s="1967"/>
      <c r="K56" s="1983"/>
      <c r="L56" s="1964"/>
      <c r="M56" s="1964"/>
      <c r="N56" s="1985"/>
      <c r="O56" s="1985"/>
      <c r="P56" s="1985"/>
      <c r="Q56" s="1324"/>
      <c r="R56" s="1324"/>
      <c r="S56" s="1324"/>
      <c r="T56" s="1324"/>
      <c r="U56" s="1324"/>
      <c r="V56" s="1324"/>
      <c r="W56" s="1325"/>
      <c r="X56" s="1326">
        <v>52</v>
      </c>
      <c r="Y56" s="1982"/>
      <c r="Z56" s="1964"/>
      <c r="AA56" s="1959">
        <v>70.8</v>
      </c>
      <c r="AB56" s="1964">
        <v>72.13</v>
      </c>
      <c r="AC56" s="1983">
        <v>73.47</v>
      </c>
      <c r="AD56" s="1959">
        <v>74.81</v>
      </c>
      <c r="AE56" s="1964"/>
      <c r="AF56" s="1959"/>
      <c r="AG56" s="1964"/>
      <c r="AH56" s="1983"/>
      <c r="AI56" s="1983"/>
      <c r="AJ56" s="1984"/>
      <c r="AK56" s="1985"/>
      <c r="AL56" s="1985"/>
      <c r="AM56" s="1985"/>
      <c r="AN56" s="1324"/>
      <c r="AO56" s="1324"/>
      <c r="AP56" s="1324"/>
      <c r="AQ56" s="1324"/>
      <c r="AR56" s="1324"/>
      <c r="AS56" s="1324"/>
      <c r="AT56" s="1324"/>
      <c r="AU56" s="1325"/>
      <c r="AV56" s="1327"/>
    </row>
    <row r="57" spans="1:48">
      <c r="A57" s="1941"/>
      <c r="B57" s="1954"/>
      <c r="C57" s="1959">
        <v>117.99</v>
      </c>
      <c r="D57" s="1964">
        <v>119.92</v>
      </c>
      <c r="E57" s="1967">
        <v>121.85</v>
      </c>
      <c r="F57" s="1959">
        <v>123.78</v>
      </c>
      <c r="G57" s="1964"/>
      <c r="H57" s="1959"/>
      <c r="I57" s="1964"/>
      <c r="J57" s="1967"/>
      <c r="K57" s="1983"/>
      <c r="L57" s="1964"/>
      <c r="M57" s="1964"/>
      <c r="N57" s="1985"/>
      <c r="O57" s="1985"/>
      <c r="P57" s="1985"/>
      <c r="Q57" s="1324"/>
      <c r="R57" s="1324"/>
      <c r="S57" s="1324"/>
      <c r="T57" s="1324"/>
      <c r="U57" s="1324"/>
      <c r="V57" s="1324"/>
      <c r="W57" s="1325"/>
      <c r="X57" s="1326">
        <v>53</v>
      </c>
      <c r="Y57" s="1982"/>
      <c r="Z57" s="1964"/>
      <c r="AA57" s="1959">
        <v>72.14</v>
      </c>
      <c r="AB57" s="1964">
        <v>73.510000000000005</v>
      </c>
      <c r="AC57" s="1983">
        <v>74.87</v>
      </c>
      <c r="AD57" s="1959">
        <v>76.23</v>
      </c>
      <c r="AE57" s="1964"/>
      <c r="AF57" s="1959"/>
      <c r="AG57" s="1964"/>
      <c r="AH57" s="1983"/>
      <c r="AI57" s="1983"/>
      <c r="AJ57" s="1984"/>
      <c r="AK57" s="1985"/>
      <c r="AL57" s="1985"/>
      <c r="AM57" s="1985"/>
      <c r="AN57" s="1324"/>
      <c r="AO57" s="1324"/>
      <c r="AP57" s="1324"/>
      <c r="AQ57" s="1324"/>
      <c r="AR57" s="1324"/>
      <c r="AS57" s="1324"/>
      <c r="AT57" s="1324"/>
      <c r="AU57" s="1325"/>
      <c r="AV57" s="1327"/>
    </row>
    <row r="58" spans="1:48">
      <c r="A58" s="1941"/>
      <c r="B58" s="1952"/>
      <c r="C58" s="1959">
        <v>120.21</v>
      </c>
      <c r="D58" s="1964">
        <v>122.18</v>
      </c>
      <c r="E58" s="1967">
        <v>124.14</v>
      </c>
      <c r="F58" s="1959">
        <v>126.11</v>
      </c>
      <c r="G58" s="1964"/>
      <c r="H58" s="1959"/>
      <c r="I58" s="1964"/>
      <c r="J58" s="1967"/>
      <c r="K58" s="1983"/>
      <c r="L58" s="1964"/>
      <c r="M58" s="1964"/>
      <c r="N58" s="1985"/>
      <c r="O58" s="1985"/>
      <c r="P58" s="1985"/>
      <c r="Q58" s="1324"/>
      <c r="R58" s="1324"/>
      <c r="S58" s="1324"/>
      <c r="T58" s="1324"/>
      <c r="U58" s="1324"/>
      <c r="V58" s="1324"/>
      <c r="W58" s="1325"/>
      <c r="X58" s="1326">
        <v>54</v>
      </c>
      <c r="Y58" s="1982"/>
      <c r="Z58" s="1964"/>
      <c r="AA58" s="1959">
        <v>73.5</v>
      </c>
      <c r="AB58" s="1964">
        <v>74.88</v>
      </c>
      <c r="AC58" s="1983">
        <v>76.27</v>
      </c>
      <c r="AD58" s="1959">
        <v>77.66</v>
      </c>
      <c r="AE58" s="1964"/>
      <c r="AF58" s="1959"/>
      <c r="AG58" s="1964"/>
      <c r="AH58" s="1983"/>
      <c r="AI58" s="1983"/>
      <c r="AJ58" s="1984"/>
      <c r="AK58" s="1985"/>
      <c r="AL58" s="1985"/>
      <c r="AM58" s="1985"/>
      <c r="AN58" s="1324"/>
      <c r="AO58" s="1324"/>
      <c r="AP58" s="1324"/>
      <c r="AQ58" s="1324"/>
      <c r="AR58" s="1324"/>
      <c r="AS58" s="1324"/>
      <c r="AT58" s="1324"/>
      <c r="AU58" s="1325"/>
      <c r="AV58" s="1327"/>
    </row>
    <row r="59" spans="1:48">
      <c r="A59" s="1941"/>
      <c r="B59" s="1954"/>
      <c r="C59" s="1959">
        <v>122.4</v>
      </c>
      <c r="D59" s="1964">
        <v>124.4</v>
      </c>
      <c r="E59" s="1967">
        <v>126.4</v>
      </c>
      <c r="F59" s="1959">
        <v>128.4</v>
      </c>
      <c r="G59" s="1964"/>
      <c r="H59" s="1959"/>
      <c r="I59" s="1964"/>
      <c r="J59" s="1967"/>
      <c r="K59" s="1983"/>
      <c r="L59" s="1964"/>
      <c r="M59" s="1964"/>
      <c r="N59" s="1985"/>
      <c r="O59" s="1985"/>
      <c r="P59" s="1985"/>
      <c r="Q59" s="1324"/>
      <c r="R59" s="1324"/>
      <c r="S59" s="1324"/>
      <c r="T59" s="1324"/>
      <c r="U59" s="1324"/>
      <c r="V59" s="1324"/>
      <c r="W59" s="1325"/>
      <c r="X59" s="1326">
        <v>55</v>
      </c>
      <c r="Y59" s="1982"/>
      <c r="Z59" s="1964"/>
      <c r="AA59" s="1959">
        <v>74.849999999999994</v>
      </c>
      <c r="AB59" s="1964">
        <v>76.260000000000005</v>
      </c>
      <c r="AC59" s="1983">
        <v>77.680000000000007</v>
      </c>
      <c r="AD59" s="1959">
        <v>79.290000000000006</v>
      </c>
      <c r="AE59" s="1964"/>
      <c r="AF59" s="1959"/>
      <c r="AG59" s="1964"/>
      <c r="AH59" s="1983"/>
      <c r="AI59" s="1983"/>
      <c r="AJ59" s="1984"/>
      <c r="AK59" s="1985"/>
      <c r="AL59" s="1985"/>
      <c r="AM59" s="1985"/>
      <c r="AN59" s="1324"/>
      <c r="AO59" s="1324"/>
      <c r="AP59" s="1324"/>
      <c r="AQ59" s="1324"/>
      <c r="AR59" s="1324"/>
      <c r="AS59" s="1324"/>
      <c r="AT59" s="1324"/>
      <c r="AU59" s="1325"/>
      <c r="AV59" s="1327"/>
    </row>
    <row r="60" spans="1:48">
      <c r="A60" s="1941"/>
      <c r="B60" s="1954"/>
      <c r="C60" s="1959">
        <v>124.6</v>
      </c>
      <c r="D60" s="1964">
        <v>126.63</v>
      </c>
      <c r="E60" s="1967" t="s">
        <v>2140</v>
      </c>
      <c r="F60" s="1959">
        <v>130.71</v>
      </c>
      <c r="G60" s="1964"/>
      <c r="H60" s="1959"/>
      <c r="I60" s="1964"/>
      <c r="J60" s="1967"/>
      <c r="K60" s="1983"/>
      <c r="L60" s="1964"/>
      <c r="M60" s="1964"/>
      <c r="N60" s="1985"/>
      <c r="O60" s="1985"/>
      <c r="P60" s="1985"/>
      <c r="Q60" s="1324"/>
      <c r="R60" s="1324"/>
      <c r="S60" s="1324"/>
      <c r="T60" s="1324"/>
      <c r="U60" s="1324"/>
      <c r="V60" s="1324"/>
      <c r="W60" s="1325"/>
      <c r="X60" s="1326">
        <v>56</v>
      </c>
      <c r="Y60" s="1982"/>
      <c r="Z60" s="1964"/>
      <c r="AA60" s="1959">
        <v>76.19</v>
      </c>
      <c r="AB60" s="1964">
        <v>77.63</v>
      </c>
      <c r="AC60" s="1983">
        <v>79.069999999999993</v>
      </c>
      <c r="AD60" s="1959">
        <v>80.510000000000005</v>
      </c>
      <c r="AE60" s="1964"/>
      <c r="AF60" s="1959"/>
      <c r="AG60" s="1964"/>
      <c r="AH60" s="1983"/>
      <c r="AI60" s="1983"/>
      <c r="AJ60" s="1984"/>
      <c r="AK60" s="1985"/>
      <c r="AL60" s="1985"/>
      <c r="AM60" s="1985"/>
      <c r="AN60" s="1324"/>
      <c r="AO60" s="1324"/>
      <c r="AP60" s="1324"/>
      <c r="AQ60" s="1324"/>
      <c r="AR60" s="1324"/>
      <c r="AS60" s="1324"/>
      <c r="AT60" s="1324"/>
      <c r="AU60" s="1325"/>
      <c r="AV60" s="1327"/>
    </row>
    <row r="61" spans="1:48">
      <c r="A61" s="1942"/>
      <c r="B61" s="1954"/>
      <c r="C61" s="1959">
        <v>126.81</v>
      </c>
      <c r="D61" s="1964">
        <v>128.88</v>
      </c>
      <c r="E61" s="1967">
        <v>130.96</v>
      </c>
      <c r="F61" s="1959">
        <v>133.03</v>
      </c>
      <c r="G61" s="1964"/>
      <c r="H61" s="1959"/>
      <c r="I61" s="1964"/>
      <c r="J61" s="1967"/>
      <c r="K61" s="1983"/>
      <c r="L61" s="1964"/>
      <c r="M61" s="1964"/>
      <c r="N61" s="1985"/>
      <c r="O61" s="1985"/>
      <c r="P61" s="1985"/>
      <c r="Q61" s="1324"/>
      <c r="R61" s="1324"/>
      <c r="S61" s="1324"/>
      <c r="T61" s="1324"/>
      <c r="U61" s="1324"/>
      <c r="V61" s="1324"/>
      <c r="W61" s="1325"/>
      <c r="X61" s="1326">
        <v>57</v>
      </c>
      <c r="Y61" s="1982"/>
      <c r="Z61" s="1964"/>
      <c r="AA61" s="1959">
        <v>77.540000000000006</v>
      </c>
      <c r="AB61" s="1964">
        <v>79.010000000000005</v>
      </c>
      <c r="AC61" s="1983">
        <v>80.47</v>
      </c>
      <c r="AD61" s="1959">
        <v>81.94</v>
      </c>
      <c r="AE61" s="1964"/>
      <c r="AF61" s="1959"/>
      <c r="AG61" s="1964"/>
      <c r="AH61" s="1983"/>
      <c r="AI61" s="1983"/>
      <c r="AJ61" s="1984"/>
      <c r="AK61" s="1985"/>
      <c r="AL61" s="1985"/>
      <c r="AM61" s="1985"/>
      <c r="AN61" s="1324"/>
      <c r="AO61" s="1324"/>
      <c r="AP61" s="1324"/>
      <c r="AQ61" s="1324"/>
      <c r="AR61" s="1324"/>
      <c r="AS61" s="1324"/>
      <c r="AT61" s="1324"/>
      <c r="AU61" s="1325"/>
      <c r="AV61" s="1327"/>
    </row>
    <row r="62" spans="1:48">
      <c r="A62" s="1941"/>
      <c r="B62" s="1952"/>
      <c r="C62" s="1959">
        <v>129.04</v>
      </c>
      <c r="D62" s="1964">
        <v>131.15</v>
      </c>
      <c r="E62" s="1967">
        <v>133.26</v>
      </c>
      <c r="F62" s="1959">
        <v>135.37</v>
      </c>
      <c r="G62" s="1964"/>
      <c r="H62" s="1959"/>
      <c r="I62" s="1964"/>
      <c r="J62" s="1967"/>
      <c r="K62" s="1983"/>
      <c r="L62" s="1964"/>
      <c r="M62" s="1964"/>
      <c r="N62" s="1985"/>
      <c r="O62" s="1985"/>
      <c r="P62" s="1985"/>
      <c r="Q62" s="1324"/>
      <c r="R62" s="1324"/>
      <c r="S62" s="1324"/>
      <c r="T62" s="1324"/>
      <c r="U62" s="1324"/>
      <c r="V62" s="1324"/>
      <c r="W62" s="1325"/>
      <c r="X62" s="1326">
        <v>58</v>
      </c>
      <c r="Y62" s="1982"/>
      <c r="Z62" s="1964"/>
      <c r="AA62" s="1959">
        <v>78.86</v>
      </c>
      <c r="AB62" s="1964">
        <v>80.38</v>
      </c>
      <c r="AC62" s="1983">
        <v>81.87</v>
      </c>
      <c r="AD62" s="1959">
        <v>83.36</v>
      </c>
      <c r="AE62" s="1964"/>
      <c r="AF62" s="1959"/>
      <c r="AG62" s="1964"/>
      <c r="AH62" s="1983"/>
      <c r="AI62" s="1983"/>
      <c r="AJ62" s="1984"/>
      <c r="AK62" s="1985"/>
      <c r="AL62" s="1985"/>
      <c r="AM62" s="1985"/>
      <c r="AN62" s="1324"/>
      <c r="AO62" s="1324"/>
      <c r="AP62" s="1324"/>
      <c r="AQ62" s="1324"/>
      <c r="AR62" s="1324"/>
      <c r="AS62" s="1324"/>
      <c r="AT62" s="1324"/>
      <c r="AU62" s="1325"/>
      <c r="AV62" s="1327"/>
    </row>
    <row r="63" spans="1:48">
      <c r="A63" s="1941"/>
      <c r="B63" s="1954"/>
      <c r="C63" s="1959">
        <v>131.22</v>
      </c>
      <c r="D63" s="1964">
        <v>133.37</v>
      </c>
      <c r="E63" s="1967">
        <v>135.52000000000001</v>
      </c>
      <c r="F63" s="1959">
        <v>137.66999999999999</v>
      </c>
      <c r="G63" s="1964"/>
      <c r="H63" s="1959"/>
      <c r="I63" s="1964"/>
      <c r="J63" s="1967"/>
      <c r="K63" s="1983"/>
      <c r="L63" s="1964"/>
      <c r="M63" s="1964"/>
      <c r="N63" s="1985"/>
      <c r="O63" s="1985"/>
      <c r="P63" s="1985"/>
      <c r="Q63" s="1324"/>
      <c r="R63" s="1324"/>
      <c r="S63" s="1324"/>
      <c r="T63" s="1324"/>
      <c r="U63" s="1324"/>
      <c r="V63" s="1324"/>
      <c r="W63" s="1325"/>
      <c r="X63" s="1326">
        <v>59</v>
      </c>
      <c r="Y63" s="1982"/>
      <c r="Z63" s="1964"/>
      <c r="AA63" s="1959">
        <v>80.25</v>
      </c>
      <c r="AB63" s="1964">
        <v>81.760000000000005</v>
      </c>
      <c r="AC63" s="1983">
        <v>83.28</v>
      </c>
      <c r="AD63" s="1959">
        <v>84.79</v>
      </c>
      <c r="AE63" s="1964"/>
      <c r="AF63" s="1959"/>
      <c r="AG63" s="1964"/>
      <c r="AH63" s="1983"/>
      <c r="AI63" s="1983"/>
      <c r="AJ63" s="1984"/>
      <c r="AK63" s="1985"/>
      <c r="AL63" s="1985"/>
      <c r="AM63" s="1985"/>
      <c r="AN63" s="1324"/>
      <c r="AO63" s="1324"/>
      <c r="AP63" s="1324"/>
      <c r="AQ63" s="1324"/>
      <c r="AR63" s="1324"/>
      <c r="AS63" s="1324"/>
      <c r="AT63" s="1324"/>
      <c r="AU63" s="1325"/>
      <c r="AV63" s="1327"/>
    </row>
    <row r="64" spans="1:48">
      <c r="A64" s="1942"/>
      <c r="B64" s="1954"/>
      <c r="C64" s="1959">
        <v>133.63999999999999</v>
      </c>
      <c r="D64" s="1964">
        <v>135.61000000000001</v>
      </c>
      <c r="E64" s="1967">
        <v>137.79</v>
      </c>
      <c r="F64" s="1959">
        <v>139.97999999999999</v>
      </c>
      <c r="G64" s="1964"/>
      <c r="H64" s="1959"/>
      <c r="I64" s="1964"/>
      <c r="J64" s="1967"/>
      <c r="K64" s="1983"/>
      <c r="L64" s="1964"/>
      <c r="M64" s="1964"/>
      <c r="N64" s="1985"/>
      <c r="O64" s="1985"/>
      <c r="P64" s="1985"/>
      <c r="Q64" s="1324"/>
      <c r="R64" s="1324"/>
      <c r="S64" s="1324"/>
      <c r="T64" s="1324"/>
      <c r="U64" s="1324"/>
      <c r="V64" s="1324"/>
      <c r="W64" s="1325"/>
      <c r="X64" s="1326">
        <v>60</v>
      </c>
      <c r="Y64" s="1982"/>
      <c r="Z64" s="1964"/>
      <c r="AA64" s="1959">
        <v>81.599999999999994</v>
      </c>
      <c r="AB64" s="1964">
        <v>83.15</v>
      </c>
      <c r="AC64" s="1983">
        <v>84.69</v>
      </c>
      <c r="AD64" s="1959">
        <v>86.23</v>
      </c>
      <c r="AE64" s="1964"/>
      <c r="AF64" s="1959"/>
      <c r="AG64" s="1964"/>
      <c r="AH64" s="1983"/>
      <c r="AI64" s="1983"/>
      <c r="AJ64" s="1984"/>
      <c r="AK64" s="1985"/>
      <c r="AL64" s="1985"/>
      <c r="AM64" s="1985"/>
      <c r="AN64" s="1324"/>
      <c r="AO64" s="1324"/>
      <c r="AP64" s="1324"/>
      <c r="AQ64" s="1324"/>
      <c r="AR64" s="1324"/>
      <c r="AS64" s="1324"/>
      <c r="AT64" s="1324"/>
      <c r="AU64" s="1325"/>
      <c r="AV64" s="1327"/>
    </row>
    <row r="65" spans="1:48">
      <c r="A65" s="1942"/>
      <c r="B65" s="1952"/>
      <c r="C65" s="1959">
        <v>135.63999999999999</v>
      </c>
      <c r="D65" s="1964">
        <v>137.86000000000001</v>
      </c>
      <c r="E65" s="1967">
        <v>140.08000000000001</v>
      </c>
      <c r="F65" s="1959">
        <v>142.30000000000001</v>
      </c>
      <c r="G65" s="1964"/>
      <c r="H65" s="1959"/>
      <c r="I65" s="1964"/>
      <c r="J65" s="1967"/>
      <c r="K65" s="1983"/>
      <c r="L65" s="1964"/>
      <c r="M65" s="1964"/>
      <c r="N65" s="1985"/>
      <c r="O65" s="1985"/>
      <c r="P65" s="1985"/>
      <c r="Q65" s="1324"/>
      <c r="R65" s="1324"/>
      <c r="S65" s="1324"/>
      <c r="T65" s="1324"/>
      <c r="U65" s="1324"/>
      <c r="V65" s="1324"/>
      <c r="W65" s="1325"/>
      <c r="X65" s="1326">
        <v>61</v>
      </c>
      <c r="Y65" s="1982"/>
      <c r="Z65" s="1964"/>
      <c r="AA65" s="1959">
        <v>82.95</v>
      </c>
      <c r="AB65" s="1964">
        <v>84.52</v>
      </c>
      <c r="AC65" s="1983">
        <v>86.08</v>
      </c>
      <c r="AD65" s="1959">
        <v>87.65</v>
      </c>
      <c r="AE65" s="1964"/>
      <c r="AF65" s="1959"/>
      <c r="AG65" s="1964"/>
      <c r="AH65" s="1983"/>
      <c r="AI65" s="1983"/>
      <c r="AJ65" s="1984"/>
      <c r="AK65" s="1985"/>
      <c r="AL65" s="1985"/>
      <c r="AM65" s="1985"/>
      <c r="AN65" s="1324"/>
      <c r="AO65" s="1324"/>
      <c r="AP65" s="1324"/>
      <c r="AQ65" s="1324"/>
      <c r="AR65" s="1324"/>
      <c r="AS65" s="1324"/>
      <c r="AT65" s="1324"/>
      <c r="AU65" s="1325"/>
      <c r="AV65" s="1327"/>
    </row>
    <row r="66" spans="1:48">
      <c r="A66" s="1942"/>
      <c r="B66" s="1954"/>
      <c r="C66" s="1959">
        <v>137.86000000000001</v>
      </c>
      <c r="D66" s="1964">
        <v>140.12</v>
      </c>
      <c r="E66" s="1967">
        <v>142.38</v>
      </c>
      <c r="F66" s="1959">
        <v>144.63</v>
      </c>
      <c r="G66" s="1964"/>
      <c r="H66" s="1959"/>
      <c r="I66" s="1964"/>
      <c r="J66" s="1967"/>
      <c r="K66" s="1983"/>
      <c r="L66" s="1964"/>
      <c r="M66" s="1964"/>
      <c r="N66" s="1985"/>
      <c r="O66" s="1985"/>
      <c r="P66" s="1985"/>
      <c r="Q66" s="1324"/>
      <c r="R66" s="1324"/>
      <c r="S66" s="1324"/>
      <c r="T66" s="1324"/>
      <c r="U66" s="1324"/>
      <c r="V66" s="1324"/>
      <c r="W66" s="1325"/>
      <c r="X66" s="1326">
        <v>62</v>
      </c>
      <c r="Y66" s="1982"/>
      <c r="Z66" s="1964"/>
      <c r="AA66" s="1959">
        <v>84.3</v>
      </c>
      <c r="AB66" s="1964">
        <v>85.89</v>
      </c>
      <c r="AC66" s="1983">
        <v>87.48</v>
      </c>
      <c r="AD66" s="1959">
        <v>89.08</v>
      </c>
      <c r="AE66" s="1964"/>
      <c r="AF66" s="1959"/>
      <c r="AG66" s="1964"/>
      <c r="AH66" s="1983"/>
      <c r="AI66" s="1983"/>
      <c r="AJ66" s="1984"/>
      <c r="AK66" s="1985"/>
      <c r="AL66" s="1985"/>
      <c r="AM66" s="1985"/>
      <c r="AN66" s="1324"/>
      <c r="AO66" s="1324"/>
      <c r="AP66" s="1324"/>
      <c r="AQ66" s="1324"/>
      <c r="AR66" s="1324"/>
      <c r="AS66" s="1324"/>
      <c r="AT66" s="1324"/>
      <c r="AU66" s="1325"/>
      <c r="AV66" s="1327"/>
    </row>
    <row r="67" spans="1:48">
      <c r="A67" s="1942"/>
      <c r="B67" s="1954"/>
      <c r="C67" s="1959">
        <v>140.04</v>
      </c>
      <c r="D67" s="1964">
        <v>142.33000000000001</v>
      </c>
      <c r="E67" s="1967">
        <v>144.62</v>
      </c>
      <c r="F67" s="1959">
        <v>146.91999999999999</v>
      </c>
      <c r="G67" s="1964"/>
      <c r="H67" s="1959"/>
      <c r="I67" s="1964"/>
      <c r="J67" s="1967"/>
      <c r="K67" s="1983"/>
      <c r="L67" s="1964"/>
      <c r="M67" s="1964"/>
      <c r="N67" s="1985"/>
      <c r="O67" s="1985"/>
      <c r="P67" s="1985"/>
      <c r="Q67" s="1324"/>
      <c r="R67" s="1324"/>
      <c r="S67" s="1324"/>
      <c r="T67" s="1324"/>
      <c r="U67" s="1324"/>
      <c r="V67" s="1324"/>
      <c r="W67" s="1325"/>
      <c r="X67" s="1326">
        <v>63</v>
      </c>
      <c r="Y67" s="1982"/>
      <c r="Z67" s="1964"/>
      <c r="AA67" s="1959">
        <v>85.65</v>
      </c>
      <c r="AB67" s="1964">
        <v>87.27</v>
      </c>
      <c r="AC67" s="1983">
        <v>88.88</v>
      </c>
      <c r="AD67" s="1959">
        <v>90.5</v>
      </c>
      <c r="AE67" s="1964"/>
      <c r="AF67" s="1959"/>
      <c r="AG67" s="1964"/>
      <c r="AH67" s="1983"/>
      <c r="AI67" s="1983"/>
      <c r="AJ67" s="1984"/>
      <c r="AK67" s="1985"/>
      <c r="AL67" s="1985"/>
      <c r="AM67" s="1985"/>
      <c r="AN67" s="1324"/>
      <c r="AO67" s="1324"/>
      <c r="AP67" s="1324"/>
      <c r="AQ67" s="1324"/>
      <c r="AR67" s="1324"/>
      <c r="AS67" s="1324"/>
      <c r="AT67" s="1324"/>
      <c r="AU67" s="1325"/>
      <c r="AV67" s="1327"/>
    </row>
    <row r="68" spans="1:48">
      <c r="A68" s="1942"/>
      <c r="B68" s="1954"/>
      <c r="C68" s="1959">
        <v>142.22</v>
      </c>
      <c r="D68" s="1964">
        <v>144.55000000000001</v>
      </c>
      <c r="E68" s="1967">
        <v>146.88</v>
      </c>
      <c r="F68" s="1959">
        <v>149.21</v>
      </c>
      <c r="G68" s="1964"/>
      <c r="H68" s="1959"/>
      <c r="I68" s="1964"/>
      <c r="J68" s="1967"/>
      <c r="K68" s="1983"/>
      <c r="L68" s="1964"/>
      <c r="M68" s="1964"/>
      <c r="N68" s="1985"/>
      <c r="O68" s="1985"/>
      <c r="P68" s="1985"/>
      <c r="Q68" s="1324"/>
      <c r="R68" s="1324"/>
      <c r="S68" s="1324"/>
      <c r="T68" s="1324"/>
      <c r="U68" s="1324"/>
      <c r="V68" s="1324"/>
      <c r="W68" s="1325"/>
      <c r="X68" s="1326">
        <v>64</v>
      </c>
      <c r="Y68" s="1982"/>
      <c r="Z68" s="1964"/>
      <c r="AA68" s="1959">
        <v>87</v>
      </c>
      <c r="AB68" s="1964">
        <v>88.65</v>
      </c>
      <c r="AC68" s="1983">
        <v>90.29</v>
      </c>
      <c r="AD68" s="1959">
        <v>91.94</v>
      </c>
      <c r="AE68" s="1964"/>
      <c r="AF68" s="1959"/>
      <c r="AG68" s="1964"/>
      <c r="AH68" s="1983"/>
      <c r="AI68" s="1983"/>
      <c r="AJ68" s="1984"/>
      <c r="AK68" s="1985"/>
      <c r="AL68" s="1985"/>
      <c r="AM68" s="1985"/>
      <c r="AN68" s="1324"/>
      <c r="AO68" s="1324"/>
      <c r="AP68" s="1324"/>
      <c r="AQ68" s="1324"/>
      <c r="AR68" s="1324"/>
      <c r="AS68" s="1324"/>
      <c r="AT68" s="1324"/>
      <c r="AU68" s="1325"/>
      <c r="AV68" s="1327"/>
    </row>
    <row r="69" spans="1:48">
      <c r="A69" s="1941"/>
      <c r="B69" s="1954"/>
      <c r="C69" s="1959">
        <v>144.41999999999999</v>
      </c>
      <c r="D69" s="1964">
        <v>146.79</v>
      </c>
      <c r="E69" s="1967">
        <v>149.15</v>
      </c>
      <c r="F69" s="1959">
        <v>151.52000000000001</v>
      </c>
      <c r="G69" s="1964"/>
      <c r="H69" s="1959"/>
      <c r="I69" s="1964"/>
      <c r="J69" s="1967"/>
      <c r="K69" s="1983"/>
      <c r="L69" s="1964"/>
      <c r="M69" s="1964"/>
      <c r="N69" s="1985"/>
      <c r="O69" s="1985"/>
      <c r="P69" s="1985"/>
      <c r="Q69" s="1324"/>
      <c r="R69" s="1324"/>
      <c r="S69" s="1324"/>
      <c r="T69" s="1324"/>
      <c r="U69" s="1324"/>
      <c r="V69" s="1324"/>
      <c r="W69" s="1325"/>
      <c r="X69" s="1326">
        <v>65</v>
      </c>
      <c r="Y69" s="1982"/>
      <c r="Z69" s="1964"/>
      <c r="AA69" s="1959">
        <v>88.34</v>
      </c>
      <c r="AB69" s="1964">
        <v>90.01</v>
      </c>
      <c r="AC69" s="1983">
        <v>91.68</v>
      </c>
      <c r="AD69" s="1959">
        <v>93.35</v>
      </c>
      <c r="AE69" s="1964"/>
      <c r="AF69" s="1959"/>
      <c r="AG69" s="1964"/>
      <c r="AH69" s="1983"/>
      <c r="AI69" s="1983"/>
      <c r="AJ69" s="1984"/>
      <c r="AK69" s="1985"/>
      <c r="AL69" s="1985"/>
      <c r="AM69" s="1985"/>
      <c r="AN69" s="1324"/>
      <c r="AO69" s="1324"/>
      <c r="AP69" s="1324"/>
      <c r="AQ69" s="1324"/>
      <c r="AR69" s="1324"/>
      <c r="AS69" s="1324"/>
      <c r="AT69" s="1324"/>
      <c r="AU69" s="1325"/>
      <c r="AV69" s="1327"/>
    </row>
    <row r="70" spans="1:48">
      <c r="A70" s="1942"/>
      <c r="B70" s="1954"/>
      <c r="C70" s="1959">
        <v>146.63</v>
      </c>
      <c r="D70" s="1964">
        <v>149.04</v>
      </c>
      <c r="E70" s="1967">
        <v>151.44</v>
      </c>
      <c r="F70" s="1959">
        <v>153.84</v>
      </c>
      <c r="G70" s="1964"/>
      <c r="H70" s="1959"/>
      <c r="I70" s="1964"/>
      <c r="J70" s="1967"/>
      <c r="K70" s="1983"/>
      <c r="L70" s="1964"/>
      <c r="M70" s="1964"/>
      <c r="N70" s="1985"/>
      <c r="O70" s="1985"/>
      <c r="P70" s="1985"/>
      <c r="Q70" s="1324"/>
      <c r="R70" s="1324"/>
      <c r="S70" s="1324"/>
      <c r="T70" s="1324"/>
      <c r="U70" s="1324"/>
      <c r="V70" s="1324"/>
      <c r="W70" s="1325"/>
      <c r="X70" s="1326">
        <v>66</v>
      </c>
      <c r="Y70" s="1982"/>
      <c r="Z70" s="1964"/>
      <c r="AA70" s="1959">
        <v>89.7</v>
      </c>
      <c r="AB70" s="1964">
        <v>91.4</v>
      </c>
      <c r="AC70" s="1983">
        <v>93.09</v>
      </c>
      <c r="AD70" s="1959">
        <v>94.79</v>
      </c>
      <c r="AE70" s="1964"/>
      <c r="AF70" s="1959"/>
      <c r="AG70" s="1964"/>
      <c r="AH70" s="1983"/>
      <c r="AI70" s="1983"/>
      <c r="AJ70" s="1984"/>
      <c r="AK70" s="1985"/>
      <c r="AL70" s="1985"/>
      <c r="AM70" s="1985"/>
      <c r="AN70" s="1324"/>
      <c r="AO70" s="1324"/>
      <c r="AP70" s="1324"/>
      <c r="AQ70" s="1324"/>
      <c r="AR70" s="1324"/>
      <c r="AS70" s="1324"/>
      <c r="AT70" s="1324"/>
      <c r="AU70" s="1325"/>
      <c r="AV70" s="1327"/>
    </row>
    <row r="71" spans="1:48">
      <c r="A71" s="1942"/>
      <c r="B71" s="1954"/>
      <c r="C71" s="1959">
        <v>148.86000000000001</v>
      </c>
      <c r="D71" s="1964">
        <v>151.30000000000001</v>
      </c>
      <c r="E71" s="1967">
        <v>153.74</v>
      </c>
      <c r="F71" s="1959">
        <v>156.18</v>
      </c>
      <c r="G71" s="1964"/>
      <c r="H71" s="1959"/>
      <c r="I71" s="1964"/>
      <c r="J71" s="1967"/>
      <c r="K71" s="1983"/>
      <c r="L71" s="1964"/>
      <c r="M71" s="1964"/>
      <c r="N71" s="1985"/>
      <c r="O71" s="1985"/>
      <c r="P71" s="1985"/>
      <c r="Q71" s="1324"/>
      <c r="R71" s="1324"/>
      <c r="S71" s="1324"/>
      <c r="T71" s="1324"/>
      <c r="U71" s="1324"/>
      <c r="V71" s="1324"/>
      <c r="W71" s="1325"/>
      <c r="X71" s="1326">
        <v>67</v>
      </c>
      <c r="Y71" s="1982"/>
      <c r="Z71" s="1964"/>
      <c r="AA71" s="1959">
        <v>91.04</v>
      </c>
      <c r="AB71" s="1964">
        <v>92.76</v>
      </c>
      <c r="AC71" s="1983">
        <v>94.49</v>
      </c>
      <c r="AD71" s="1959">
        <v>96.21</v>
      </c>
      <c r="AE71" s="1964"/>
      <c r="AF71" s="1959"/>
      <c r="AG71" s="1964"/>
      <c r="AH71" s="1983"/>
      <c r="AI71" s="1983"/>
      <c r="AJ71" s="1984"/>
      <c r="AK71" s="1985"/>
      <c r="AL71" s="1985"/>
      <c r="AM71" s="1985"/>
      <c r="AN71" s="1324"/>
      <c r="AO71" s="1324"/>
      <c r="AP71" s="1324"/>
      <c r="AQ71" s="1324"/>
      <c r="AR71" s="1324"/>
      <c r="AS71" s="1324"/>
      <c r="AT71" s="1324"/>
      <c r="AU71" s="1325"/>
      <c r="AV71" s="1327"/>
    </row>
    <row r="72" spans="1:48">
      <c r="A72" s="1941"/>
      <c r="B72" s="1954"/>
      <c r="C72" s="1959">
        <v>151.02000000000001</v>
      </c>
      <c r="D72" s="1964">
        <v>153.49</v>
      </c>
      <c r="E72" s="1967">
        <v>155.97</v>
      </c>
      <c r="F72" s="1959">
        <v>158.44</v>
      </c>
      <c r="G72" s="1964"/>
      <c r="H72" s="1959"/>
      <c r="I72" s="1964"/>
      <c r="J72" s="1967"/>
      <c r="K72" s="1983"/>
      <c r="L72" s="1964"/>
      <c r="M72" s="1964"/>
      <c r="N72" s="1985"/>
      <c r="O72" s="1985"/>
      <c r="P72" s="1985"/>
      <c r="Q72" s="1324"/>
      <c r="R72" s="1324"/>
      <c r="S72" s="1324"/>
      <c r="T72" s="1324"/>
      <c r="U72" s="1324"/>
      <c r="V72" s="1324"/>
      <c r="W72" s="1325"/>
      <c r="X72" s="1326">
        <v>68</v>
      </c>
      <c r="Y72" s="1982"/>
      <c r="Z72" s="1964"/>
      <c r="AA72" s="1959">
        <v>92.39</v>
      </c>
      <c r="AB72" s="1964">
        <v>94.14</v>
      </c>
      <c r="AC72" s="1983">
        <v>95.88</v>
      </c>
      <c r="AD72" s="1959">
        <v>97.63</v>
      </c>
      <c r="AE72" s="1964"/>
      <c r="AF72" s="1959"/>
      <c r="AG72" s="1964"/>
      <c r="AH72" s="1983"/>
      <c r="AI72" s="1983"/>
      <c r="AJ72" s="1984"/>
      <c r="AK72" s="1985"/>
      <c r="AL72" s="1985"/>
      <c r="AM72" s="1985"/>
      <c r="AN72" s="1324"/>
      <c r="AO72" s="1324"/>
      <c r="AP72" s="1324"/>
      <c r="AQ72" s="1324"/>
      <c r="AR72" s="1324"/>
      <c r="AS72" s="1324"/>
      <c r="AT72" s="1324"/>
      <c r="AU72" s="1325"/>
      <c r="AV72" s="1327"/>
    </row>
    <row r="73" spans="1:48">
      <c r="A73" s="1942"/>
      <c r="B73" s="1954"/>
      <c r="C73" s="1959">
        <v>153.27000000000001</v>
      </c>
      <c r="D73" s="1964">
        <v>155.78</v>
      </c>
      <c r="E73" s="1967">
        <v>158.29</v>
      </c>
      <c r="F73" s="1959">
        <v>160.81</v>
      </c>
      <c r="G73" s="1964"/>
      <c r="H73" s="1959"/>
      <c r="I73" s="1964"/>
      <c r="J73" s="1967"/>
      <c r="K73" s="1983"/>
      <c r="L73" s="1964"/>
      <c r="M73" s="1964"/>
      <c r="N73" s="1985"/>
      <c r="O73" s="1985"/>
      <c r="P73" s="1985"/>
      <c r="Q73" s="1324"/>
      <c r="R73" s="1324"/>
      <c r="S73" s="1324"/>
      <c r="T73" s="1324"/>
      <c r="U73" s="1324"/>
      <c r="V73" s="1324"/>
      <c r="W73" s="1325"/>
      <c r="X73" s="1326">
        <v>69</v>
      </c>
      <c r="Y73" s="1982"/>
      <c r="Z73" s="1964"/>
      <c r="AA73" s="1959">
        <v>93.74</v>
      </c>
      <c r="AB73" s="1964">
        <v>95.51</v>
      </c>
      <c r="AC73" s="1983">
        <v>97.28</v>
      </c>
      <c r="AD73" s="1959">
        <v>99.06</v>
      </c>
      <c r="AE73" s="1964"/>
      <c r="AF73" s="1959"/>
      <c r="AG73" s="1964"/>
      <c r="AH73" s="1983"/>
      <c r="AI73" s="1983"/>
      <c r="AJ73" s="1984"/>
      <c r="AK73" s="1985"/>
      <c r="AL73" s="1985"/>
      <c r="AM73" s="1985"/>
      <c r="AN73" s="1324"/>
      <c r="AO73" s="1324"/>
      <c r="AP73" s="1324"/>
      <c r="AQ73" s="1324"/>
      <c r="AR73" s="1324"/>
      <c r="AS73" s="1324"/>
      <c r="AT73" s="1324"/>
      <c r="AU73" s="1325"/>
      <c r="AV73" s="1327"/>
    </row>
    <row r="74" spans="1:48">
      <c r="A74" s="1941"/>
      <c r="B74" s="1954"/>
      <c r="C74" s="1959">
        <v>155.44999999999999</v>
      </c>
      <c r="D74" s="1964">
        <v>158</v>
      </c>
      <c r="E74" s="1967">
        <v>160.55000000000001</v>
      </c>
      <c r="F74" s="1959">
        <v>163.1</v>
      </c>
      <c r="G74" s="1964"/>
      <c r="H74" s="1959"/>
      <c r="I74" s="1964"/>
      <c r="J74" s="1967"/>
      <c r="K74" s="1983"/>
      <c r="L74" s="1964"/>
      <c r="M74" s="1964"/>
      <c r="N74" s="1985"/>
      <c r="O74" s="1985"/>
      <c r="P74" s="1985"/>
      <c r="Q74" s="1324"/>
      <c r="R74" s="1324"/>
      <c r="S74" s="1324"/>
      <c r="T74" s="1324"/>
      <c r="U74" s="1324"/>
      <c r="V74" s="1324"/>
      <c r="W74" s="1325"/>
      <c r="X74" s="1326">
        <v>70</v>
      </c>
      <c r="Y74" s="1982"/>
      <c r="Z74" s="1964"/>
      <c r="AA74" s="1959">
        <v>95.09</v>
      </c>
      <c r="AB74" s="1964">
        <v>96.89</v>
      </c>
      <c r="AC74" s="1983">
        <v>98.69</v>
      </c>
      <c r="AD74" s="1959">
        <v>100.49</v>
      </c>
      <c r="AE74" s="1964"/>
      <c r="AF74" s="1959"/>
      <c r="AG74" s="1964"/>
      <c r="AH74" s="1983"/>
      <c r="AI74" s="1983"/>
      <c r="AJ74" s="1984"/>
      <c r="AK74" s="1985"/>
      <c r="AL74" s="1985"/>
      <c r="AM74" s="1985"/>
      <c r="AN74" s="1324"/>
      <c r="AO74" s="1324"/>
      <c r="AP74" s="1324"/>
      <c r="AQ74" s="1324"/>
      <c r="AR74" s="1324"/>
      <c r="AS74" s="1324"/>
      <c r="AT74" s="1324"/>
      <c r="AU74" s="1325"/>
      <c r="AV74" s="1327"/>
    </row>
    <row r="75" spans="1:48">
      <c r="A75" s="1942"/>
      <c r="B75" s="1954"/>
      <c r="C75" s="1959">
        <v>157.65</v>
      </c>
      <c r="D75" s="1964">
        <v>160.22999999999999</v>
      </c>
      <c r="E75" s="1967">
        <v>162.82</v>
      </c>
      <c r="F75" s="1959">
        <v>165.4</v>
      </c>
      <c r="G75" s="1964"/>
      <c r="H75" s="1959"/>
      <c r="I75" s="1964"/>
      <c r="J75" s="1967"/>
      <c r="K75" s="1983"/>
      <c r="L75" s="1964"/>
      <c r="M75" s="1964"/>
      <c r="N75" s="1985"/>
      <c r="O75" s="1985"/>
      <c r="P75" s="1985"/>
      <c r="Q75" s="1324"/>
      <c r="R75" s="1324"/>
      <c r="S75" s="1324"/>
      <c r="T75" s="1324"/>
      <c r="U75" s="1324"/>
      <c r="V75" s="1324"/>
      <c r="W75" s="1325"/>
      <c r="X75" s="1326">
        <v>71</v>
      </c>
      <c r="Y75" s="1982"/>
      <c r="Z75" s="1964"/>
      <c r="AA75" s="1959">
        <v>96.44</v>
      </c>
      <c r="AB75" s="1964">
        <v>87.27</v>
      </c>
      <c r="AC75" s="1967">
        <v>100.09</v>
      </c>
      <c r="AD75" s="1959">
        <v>101.92</v>
      </c>
      <c r="AE75" s="1964"/>
      <c r="AF75" s="1959"/>
      <c r="AG75" s="1964"/>
      <c r="AH75" s="1967"/>
      <c r="AI75" s="1983"/>
      <c r="AJ75" s="1984"/>
      <c r="AK75" s="1985"/>
      <c r="AL75" s="1985"/>
      <c r="AM75" s="1985"/>
      <c r="AN75" s="1324"/>
      <c r="AO75" s="1324"/>
      <c r="AP75" s="1324"/>
      <c r="AQ75" s="1324"/>
      <c r="AR75" s="1324"/>
      <c r="AS75" s="1324"/>
      <c r="AT75" s="1324"/>
      <c r="AU75" s="1325"/>
      <c r="AV75" s="1327"/>
    </row>
    <row r="76" spans="1:48">
      <c r="A76" s="1942"/>
      <c r="B76" s="1954"/>
      <c r="C76" s="1959">
        <v>159.85</v>
      </c>
      <c r="D76" s="1964">
        <v>162.47</v>
      </c>
      <c r="E76" s="1967">
        <v>165.09</v>
      </c>
      <c r="F76" s="1959">
        <v>167.71</v>
      </c>
      <c r="G76" s="1964"/>
      <c r="H76" s="1959"/>
      <c r="I76" s="1964"/>
      <c r="J76" s="1967"/>
      <c r="K76" s="1983"/>
      <c r="L76" s="1964"/>
      <c r="M76" s="1964"/>
      <c r="N76" s="1985"/>
      <c r="O76" s="1985"/>
      <c r="P76" s="1985"/>
      <c r="Q76" s="1324"/>
      <c r="R76" s="1324"/>
      <c r="S76" s="1324"/>
      <c r="T76" s="1324"/>
      <c r="U76" s="1324"/>
      <c r="V76" s="1324"/>
      <c r="W76" s="1325"/>
      <c r="X76" s="1326">
        <v>72</v>
      </c>
      <c r="Y76" s="1982"/>
      <c r="Z76" s="1964"/>
      <c r="AA76" s="1959">
        <v>97.8</v>
      </c>
      <c r="AB76" s="1964">
        <v>99.65</v>
      </c>
      <c r="AC76" s="1967">
        <v>101.5</v>
      </c>
      <c r="AD76" s="1959">
        <v>103.35</v>
      </c>
      <c r="AE76" s="1964"/>
      <c r="AF76" s="1959"/>
      <c r="AG76" s="1964"/>
      <c r="AH76" s="1967"/>
      <c r="AI76" s="1983"/>
      <c r="AJ76" s="1984"/>
      <c r="AK76" s="1985"/>
      <c r="AL76" s="1985"/>
      <c r="AM76" s="1985"/>
      <c r="AN76" s="1324"/>
      <c r="AO76" s="1324"/>
      <c r="AP76" s="1324"/>
      <c r="AQ76" s="1324"/>
      <c r="AR76" s="1324"/>
      <c r="AS76" s="1324"/>
      <c r="AT76" s="1324"/>
      <c r="AU76" s="1325"/>
      <c r="AV76" s="1327"/>
    </row>
    <row r="77" spans="1:48">
      <c r="A77" s="1941"/>
      <c r="B77" s="1954"/>
      <c r="C77" s="1959">
        <v>162.07</v>
      </c>
      <c r="D77" s="1964">
        <v>164.73</v>
      </c>
      <c r="E77" s="1967">
        <v>167.38</v>
      </c>
      <c r="F77" s="1959">
        <v>170.04</v>
      </c>
      <c r="G77" s="1964"/>
      <c r="H77" s="1959"/>
      <c r="I77" s="1964"/>
      <c r="J77" s="1967"/>
      <c r="K77" s="1983"/>
      <c r="L77" s="1964"/>
      <c r="M77" s="1964"/>
      <c r="N77" s="1985"/>
      <c r="O77" s="1985"/>
      <c r="P77" s="1985"/>
      <c r="Q77" s="1324"/>
      <c r="R77" s="1324"/>
      <c r="S77" s="1324"/>
      <c r="T77" s="1324"/>
      <c r="U77" s="1324"/>
      <c r="V77" s="1324"/>
      <c r="W77" s="1325"/>
      <c r="X77" s="1326">
        <v>73</v>
      </c>
      <c r="Y77" s="1982"/>
      <c r="Z77" s="1964"/>
      <c r="AA77" s="1959">
        <v>99.14</v>
      </c>
      <c r="AB77" s="1964">
        <v>101.02</v>
      </c>
      <c r="AC77" s="1967">
        <v>102.89</v>
      </c>
      <c r="AD77" s="1959">
        <v>104.77</v>
      </c>
      <c r="AE77" s="1964"/>
      <c r="AF77" s="1959"/>
      <c r="AG77" s="1964"/>
      <c r="AH77" s="1967"/>
      <c r="AI77" s="1983"/>
      <c r="AJ77" s="1984"/>
      <c r="AK77" s="1985"/>
      <c r="AL77" s="1985"/>
      <c r="AM77" s="1985"/>
      <c r="AN77" s="1324"/>
      <c r="AO77" s="1324"/>
      <c r="AP77" s="1324"/>
      <c r="AQ77" s="1324"/>
      <c r="AR77" s="1324"/>
      <c r="AS77" s="1324"/>
      <c r="AT77" s="1324"/>
      <c r="AU77" s="1325"/>
      <c r="AV77" s="1327"/>
    </row>
    <row r="78" spans="1:48">
      <c r="A78" s="1942"/>
      <c r="B78" s="1954"/>
      <c r="C78" s="1959">
        <v>164.3</v>
      </c>
      <c r="D78" s="1964">
        <v>166.99</v>
      </c>
      <c r="E78" s="1967">
        <v>169.69</v>
      </c>
      <c r="F78" s="1959">
        <v>172.38</v>
      </c>
      <c r="G78" s="1964"/>
      <c r="H78" s="1959"/>
      <c r="I78" s="1964"/>
      <c r="J78" s="1967"/>
      <c r="K78" s="1983"/>
      <c r="L78" s="1964"/>
      <c r="M78" s="1964"/>
      <c r="N78" s="1985"/>
      <c r="O78" s="1985"/>
      <c r="P78" s="1985"/>
      <c r="Q78" s="1324"/>
      <c r="R78" s="1324"/>
      <c r="S78" s="1324"/>
      <c r="T78" s="1324"/>
      <c r="U78" s="1324"/>
      <c r="V78" s="1324"/>
      <c r="W78" s="1325"/>
      <c r="X78" s="1326">
        <v>74</v>
      </c>
      <c r="Y78" s="1982"/>
      <c r="Z78" s="1964"/>
      <c r="AA78" s="1959">
        <v>100.51</v>
      </c>
      <c r="AB78" s="1964">
        <v>102.41</v>
      </c>
      <c r="AC78" s="1967">
        <v>104.31</v>
      </c>
      <c r="AD78" s="1959">
        <v>106.21</v>
      </c>
      <c r="AE78" s="1964"/>
      <c r="AF78" s="1959"/>
      <c r="AG78" s="1964"/>
      <c r="AH78" s="1967"/>
      <c r="AI78" s="1983"/>
      <c r="AJ78" s="1984"/>
      <c r="AK78" s="1985"/>
      <c r="AL78" s="1985"/>
      <c r="AM78" s="1985"/>
      <c r="AN78" s="1324"/>
      <c r="AO78" s="1324"/>
      <c r="AP78" s="1324"/>
      <c r="AQ78" s="1324"/>
      <c r="AR78" s="1324"/>
      <c r="AS78" s="1324"/>
      <c r="AT78" s="1324"/>
      <c r="AU78" s="1325"/>
      <c r="AV78" s="1327"/>
    </row>
    <row r="79" spans="1:48">
      <c r="A79" s="1942"/>
      <c r="B79" s="1954"/>
      <c r="C79" s="1959">
        <v>166.45</v>
      </c>
      <c r="D79" s="1964">
        <v>169.18</v>
      </c>
      <c r="E79" s="1967">
        <v>171.91</v>
      </c>
      <c r="F79" s="1959">
        <v>174.64</v>
      </c>
      <c r="G79" s="1964"/>
      <c r="H79" s="1959"/>
      <c r="I79" s="1964"/>
      <c r="J79" s="1967"/>
      <c r="K79" s="1983"/>
      <c r="L79" s="1964"/>
      <c r="M79" s="1964"/>
      <c r="N79" s="1985"/>
      <c r="O79" s="1985"/>
      <c r="P79" s="1985"/>
      <c r="Q79" s="1324"/>
      <c r="R79" s="1324"/>
      <c r="S79" s="1324"/>
      <c r="T79" s="1324"/>
      <c r="U79" s="1324"/>
      <c r="V79" s="1324"/>
      <c r="W79" s="1325"/>
      <c r="X79" s="1326">
        <v>75</v>
      </c>
      <c r="Y79" s="1982"/>
      <c r="Z79" s="1964"/>
      <c r="AA79" s="1959">
        <v>101.85</v>
      </c>
      <c r="AB79" s="1964">
        <v>103.77</v>
      </c>
      <c r="AC79" s="1967">
        <v>105.7</v>
      </c>
      <c r="AD79" s="1959">
        <v>107.63</v>
      </c>
      <c r="AE79" s="1964"/>
      <c r="AF79" s="1959"/>
      <c r="AG79" s="1964"/>
      <c r="AH79" s="1967"/>
      <c r="AI79" s="1983"/>
      <c r="AJ79" s="1984"/>
      <c r="AK79" s="1985"/>
      <c r="AL79" s="1985"/>
      <c r="AM79" s="1985"/>
      <c r="AN79" s="1324"/>
      <c r="AO79" s="1324"/>
      <c r="AP79" s="1324"/>
      <c r="AQ79" s="1324"/>
      <c r="AR79" s="1324"/>
      <c r="AS79" s="1324"/>
      <c r="AT79" s="1324"/>
      <c r="AU79" s="1325"/>
      <c r="AV79" s="1327"/>
    </row>
    <row r="80" spans="1:48">
      <c r="A80" s="1941"/>
      <c r="B80" s="1954"/>
      <c r="C80" s="1959">
        <v>168.7</v>
      </c>
      <c r="D80" s="1964">
        <v>171.47</v>
      </c>
      <c r="E80" s="1967">
        <v>174.23</v>
      </c>
      <c r="F80" s="1959">
        <v>177</v>
      </c>
      <c r="G80" s="1964"/>
      <c r="H80" s="1959"/>
      <c r="I80" s="1964"/>
      <c r="J80" s="1967"/>
      <c r="K80" s="1983"/>
      <c r="L80" s="1964"/>
      <c r="M80" s="1964"/>
      <c r="N80" s="1985"/>
      <c r="O80" s="1985"/>
      <c r="P80" s="1985"/>
      <c r="Q80" s="1324"/>
      <c r="R80" s="1324"/>
      <c r="S80" s="1324"/>
      <c r="T80" s="1324"/>
      <c r="U80" s="1324"/>
      <c r="V80" s="1324"/>
      <c r="W80" s="1325"/>
      <c r="X80" s="1326">
        <v>76</v>
      </c>
      <c r="Y80" s="1982"/>
      <c r="Z80" s="1964"/>
      <c r="AA80" s="1959">
        <v>103.19</v>
      </c>
      <c r="AB80" s="1964">
        <v>105.15</v>
      </c>
      <c r="AC80" s="1967">
        <v>107.1</v>
      </c>
      <c r="AD80" s="1959">
        <v>109.05</v>
      </c>
      <c r="AE80" s="1964"/>
      <c r="AF80" s="1959"/>
      <c r="AG80" s="1964"/>
      <c r="AH80" s="1967"/>
      <c r="AI80" s="1983"/>
      <c r="AJ80" s="1984"/>
      <c r="AK80" s="1985"/>
      <c r="AL80" s="1985"/>
      <c r="AM80" s="1985"/>
      <c r="AN80" s="1324"/>
      <c r="AO80" s="1324"/>
      <c r="AP80" s="1324"/>
      <c r="AQ80" s="1324"/>
      <c r="AR80" s="1324"/>
      <c r="AS80" s="1324"/>
      <c r="AT80" s="1324"/>
      <c r="AU80" s="1325"/>
      <c r="AV80" s="1327"/>
    </row>
    <row r="81" spans="1:48">
      <c r="A81" s="1943"/>
      <c r="B81" s="1954"/>
      <c r="C81" s="1959">
        <v>170.87</v>
      </c>
      <c r="D81" s="1964">
        <v>173.67</v>
      </c>
      <c r="E81" s="1967">
        <v>176.47</v>
      </c>
      <c r="F81" s="1959">
        <v>179.28</v>
      </c>
      <c r="G81" s="1964"/>
      <c r="H81" s="1959"/>
      <c r="I81" s="1964"/>
      <c r="J81" s="1967"/>
      <c r="K81" s="1983"/>
      <c r="L81" s="1964"/>
      <c r="M81" s="1964"/>
      <c r="N81" s="1985"/>
      <c r="O81" s="1985"/>
      <c r="P81" s="1985"/>
      <c r="Q81" s="1324"/>
      <c r="R81" s="1324"/>
      <c r="S81" s="1324"/>
      <c r="T81" s="1324"/>
      <c r="U81" s="1324"/>
      <c r="V81" s="1324"/>
      <c r="W81" s="1325"/>
      <c r="X81" s="1326">
        <v>77</v>
      </c>
      <c r="Y81" s="1982"/>
      <c r="Z81" s="1964"/>
      <c r="AA81" s="1959">
        <v>104.54</v>
      </c>
      <c r="AB81" s="1964">
        <v>106.52</v>
      </c>
      <c r="AC81" s="1967">
        <v>108.5</v>
      </c>
      <c r="AD81" s="1959">
        <v>110.48</v>
      </c>
      <c r="AE81" s="1964"/>
      <c r="AF81" s="1959"/>
      <c r="AG81" s="1964"/>
      <c r="AH81" s="1967"/>
      <c r="AI81" s="1983"/>
      <c r="AJ81" s="1984"/>
      <c r="AK81" s="1985"/>
      <c r="AL81" s="1985"/>
      <c r="AM81" s="1985"/>
      <c r="AN81" s="1324"/>
      <c r="AO81" s="1324"/>
      <c r="AP81" s="1324"/>
      <c r="AQ81" s="1324"/>
      <c r="AR81" s="1324"/>
      <c r="AS81" s="1324"/>
      <c r="AT81" s="1324"/>
      <c r="AU81" s="1325"/>
      <c r="AV81" s="1327"/>
    </row>
    <row r="82" spans="1:48">
      <c r="A82" s="1943"/>
      <c r="B82" s="1952"/>
      <c r="C82" s="1959">
        <v>173.04</v>
      </c>
      <c r="D82" s="1964">
        <v>175.88</v>
      </c>
      <c r="E82" s="1967">
        <v>178.72</v>
      </c>
      <c r="F82" s="1959">
        <v>181.56</v>
      </c>
      <c r="G82" s="1964"/>
      <c r="H82" s="1959"/>
      <c r="I82" s="1964"/>
      <c r="J82" s="1967"/>
      <c r="K82" s="1983"/>
      <c r="L82" s="1964"/>
      <c r="M82" s="1964"/>
      <c r="N82" s="1985"/>
      <c r="O82" s="1985"/>
      <c r="P82" s="1985"/>
      <c r="Q82" s="1324"/>
      <c r="R82" s="1324"/>
      <c r="S82" s="1324"/>
      <c r="T82" s="1324"/>
      <c r="U82" s="1324"/>
      <c r="V82" s="1324"/>
      <c r="W82" s="1325"/>
      <c r="X82" s="1326">
        <v>78</v>
      </c>
      <c r="Y82" s="1982"/>
      <c r="Z82" s="1964"/>
      <c r="AA82" s="1959">
        <v>105.89</v>
      </c>
      <c r="AB82" s="1964">
        <v>107.89</v>
      </c>
      <c r="AC82" s="1967">
        <v>109.9</v>
      </c>
      <c r="AD82" s="1959">
        <v>111.9</v>
      </c>
      <c r="AE82" s="1964"/>
      <c r="AF82" s="1959"/>
      <c r="AG82" s="1964"/>
      <c r="AH82" s="1967"/>
      <c r="AI82" s="1983"/>
      <c r="AJ82" s="1984"/>
      <c r="AK82" s="1985"/>
      <c r="AL82" s="1985"/>
      <c r="AM82" s="1985"/>
      <c r="AN82" s="1324"/>
      <c r="AO82" s="1324"/>
      <c r="AP82" s="1324"/>
      <c r="AQ82" s="1324"/>
      <c r="AR82" s="1324"/>
      <c r="AS82" s="1324"/>
      <c r="AT82" s="1324"/>
      <c r="AU82" s="1325"/>
      <c r="AV82" s="1327"/>
    </row>
    <row r="83" spans="1:48">
      <c r="A83" s="1943"/>
      <c r="B83" s="1952"/>
      <c r="C83" s="1959">
        <v>175.34</v>
      </c>
      <c r="D83" s="1964">
        <v>178.21</v>
      </c>
      <c r="E83" s="1967">
        <v>181.09</v>
      </c>
      <c r="F83" s="1959">
        <v>183.96</v>
      </c>
      <c r="G83" s="1964"/>
      <c r="H83" s="1959"/>
      <c r="I83" s="1964"/>
      <c r="J83" s="1967"/>
      <c r="K83" s="1983"/>
      <c r="L83" s="1964"/>
      <c r="M83" s="1964"/>
      <c r="N83" s="1985"/>
      <c r="O83" s="1985"/>
      <c r="P83" s="1985"/>
      <c r="Q83" s="1324"/>
      <c r="R83" s="1324"/>
      <c r="S83" s="1324"/>
      <c r="T83" s="1324"/>
      <c r="U83" s="1324"/>
      <c r="V83" s="1324"/>
      <c r="W83" s="1325"/>
      <c r="X83" s="1326">
        <v>79</v>
      </c>
      <c r="Y83" s="1982"/>
      <c r="Z83" s="1964"/>
      <c r="AA83" s="1959">
        <v>107.24</v>
      </c>
      <c r="AB83" s="1964">
        <v>109.27</v>
      </c>
      <c r="AC83" s="1967">
        <v>111.3</v>
      </c>
      <c r="AD83" s="1959">
        <v>113.33</v>
      </c>
      <c r="AE83" s="1964"/>
      <c r="AF83" s="1959"/>
      <c r="AG83" s="1964"/>
      <c r="AH83" s="1967"/>
      <c r="AI83" s="1983"/>
      <c r="AJ83" s="1984"/>
      <c r="AK83" s="1985"/>
      <c r="AL83" s="1985"/>
      <c r="AM83" s="1985"/>
      <c r="AN83" s="1324"/>
      <c r="AO83" s="1324"/>
      <c r="AP83" s="1324"/>
      <c r="AQ83" s="1324"/>
      <c r="AR83" s="1324"/>
      <c r="AS83" s="1324"/>
      <c r="AT83" s="1324"/>
      <c r="AU83" s="1325"/>
      <c r="AV83" s="1327"/>
    </row>
    <row r="84" spans="1:48">
      <c r="A84" s="1943"/>
      <c r="B84" s="1952"/>
      <c r="C84" s="1959">
        <v>177.54</v>
      </c>
      <c r="D84" s="1964">
        <v>180.45</v>
      </c>
      <c r="E84" s="1967">
        <v>183.36</v>
      </c>
      <c r="F84" s="1959">
        <v>186.27</v>
      </c>
      <c r="G84" s="1964"/>
      <c r="H84" s="1959"/>
      <c r="I84" s="1964"/>
      <c r="J84" s="1967"/>
      <c r="K84" s="1983"/>
      <c r="L84" s="1964"/>
      <c r="M84" s="1964"/>
      <c r="N84" s="1985"/>
      <c r="O84" s="1985"/>
      <c r="P84" s="1985"/>
      <c r="Q84" s="1324"/>
      <c r="R84" s="1324"/>
      <c r="S84" s="1324"/>
      <c r="T84" s="1324"/>
      <c r="U84" s="1324"/>
      <c r="V84" s="1324"/>
      <c r="W84" s="1325"/>
      <c r="X84" s="1326">
        <v>80</v>
      </c>
      <c r="Y84" s="1982"/>
      <c r="Z84" s="1964"/>
      <c r="AA84" s="1959">
        <v>108.6</v>
      </c>
      <c r="AB84" s="1964">
        <v>110.65</v>
      </c>
      <c r="AC84" s="1967">
        <v>112.71</v>
      </c>
      <c r="AD84" s="1959">
        <v>114.77</v>
      </c>
      <c r="AE84" s="1964"/>
      <c r="AF84" s="1959"/>
      <c r="AG84" s="1964"/>
      <c r="AH84" s="1967"/>
      <c r="AI84" s="1983"/>
      <c r="AJ84" s="1984"/>
      <c r="AK84" s="1985"/>
      <c r="AL84" s="1985"/>
      <c r="AM84" s="1985"/>
      <c r="AN84" s="1324"/>
      <c r="AO84" s="1324"/>
      <c r="AP84" s="1324"/>
      <c r="AQ84" s="1324"/>
      <c r="AR84" s="1324"/>
      <c r="AS84" s="1324"/>
      <c r="AT84" s="1324"/>
      <c r="AU84" s="1325"/>
      <c r="AV84" s="1327"/>
    </row>
    <row r="85" spans="1:48">
      <c r="A85" s="1941"/>
      <c r="B85" s="1954"/>
      <c r="C85" s="1959">
        <v>179.74</v>
      </c>
      <c r="D85" s="1964">
        <v>182.69</v>
      </c>
      <c r="E85" s="1967">
        <v>185.64</v>
      </c>
      <c r="F85" s="1959">
        <v>188.59</v>
      </c>
      <c r="G85" s="1964"/>
      <c r="H85" s="1959"/>
      <c r="I85" s="1964"/>
      <c r="J85" s="1967"/>
      <c r="K85" s="1983"/>
      <c r="L85" s="1964"/>
      <c r="M85" s="1964"/>
      <c r="N85" s="1985"/>
      <c r="O85" s="1985"/>
      <c r="P85" s="1985"/>
      <c r="Q85" s="1324"/>
      <c r="R85" s="1324"/>
      <c r="S85" s="1324"/>
      <c r="T85" s="1324"/>
      <c r="U85" s="1324"/>
      <c r="V85" s="1324"/>
      <c r="W85" s="1325"/>
      <c r="X85" s="1326">
        <v>81</v>
      </c>
      <c r="Y85" s="1982"/>
      <c r="Z85" s="1964"/>
      <c r="AA85" s="1959">
        <v>109.96</v>
      </c>
      <c r="AB85" s="1964">
        <v>112.04</v>
      </c>
      <c r="AC85" s="1967">
        <v>114.12</v>
      </c>
      <c r="AD85" s="1959">
        <v>116.2</v>
      </c>
      <c r="AE85" s="1964"/>
      <c r="AF85" s="1959"/>
      <c r="AG85" s="1964"/>
      <c r="AH85" s="1967"/>
      <c r="AI85" s="1983"/>
      <c r="AJ85" s="1984"/>
      <c r="AK85" s="1985"/>
      <c r="AL85" s="1985"/>
      <c r="AM85" s="1985"/>
      <c r="AN85" s="1324"/>
      <c r="AO85" s="1324"/>
      <c r="AP85" s="1324"/>
      <c r="AQ85" s="1324"/>
      <c r="AR85" s="1324"/>
      <c r="AS85" s="1324"/>
      <c r="AT85" s="1324"/>
      <c r="AU85" s="1325"/>
      <c r="AV85" s="1327"/>
    </row>
    <row r="86" spans="1:48">
      <c r="A86" s="1942"/>
      <c r="B86" s="1952"/>
      <c r="C86" s="1959">
        <v>181.85</v>
      </c>
      <c r="D86" s="1964">
        <v>184.83</v>
      </c>
      <c r="E86" s="1967">
        <v>187.82</v>
      </c>
      <c r="F86" s="1959">
        <v>190.8</v>
      </c>
      <c r="G86" s="1964"/>
      <c r="H86" s="1959"/>
      <c r="I86" s="1964"/>
      <c r="J86" s="1967"/>
      <c r="K86" s="1983"/>
      <c r="L86" s="1964"/>
      <c r="M86" s="1964"/>
      <c r="N86" s="1985"/>
      <c r="O86" s="1985"/>
      <c r="P86" s="1985"/>
      <c r="Q86" s="1324"/>
      <c r="R86" s="1324"/>
      <c r="S86" s="1324"/>
      <c r="T86" s="1324"/>
      <c r="U86" s="1324"/>
      <c r="V86" s="1324"/>
      <c r="W86" s="1325"/>
      <c r="X86" s="1326">
        <v>82</v>
      </c>
      <c r="Y86" s="1982"/>
      <c r="Z86" s="1964"/>
      <c r="AA86" s="1959">
        <v>111.29</v>
      </c>
      <c r="AB86" s="1964">
        <v>113.39</v>
      </c>
      <c r="AC86" s="1967">
        <v>115.5</v>
      </c>
      <c r="AD86" s="1959">
        <v>117.61</v>
      </c>
      <c r="AE86" s="1964"/>
      <c r="AF86" s="1959"/>
      <c r="AG86" s="1964"/>
      <c r="AH86" s="1967"/>
      <c r="AI86" s="1983"/>
      <c r="AJ86" s="1984"/>
      <c r="AK86" s="1985"/>
      <c r="AL86" s="1985"/>
      <c r="AM86" s="1985"/>
      <c r="AN86" s="1324"/>
      <c r="AO86" s="1324"/>
      <c r="AP86" s="1324"/>
      <c r="AQ86" s="1324"/>
      <c r="AR86" s="1324"/>
      <c r="AS86" s="1324"/>
      <c r="AT86" s="1324"/>
      <c r="AU86" s="1325"/>
      <c r="AV86" s="1327"/>
    </row>
    <row r="87" spans="1:48">
      <c r="A87" s="1941"/>
      <c r="B87" s="1952"/>
      <c r="C87" s="1959" t="s">
        <v>2139</v>
      </c>
      <c r="D87" s="1964">
        <v>187.1</v>
      </c>
      <c r="E87" s="1967">
        <v>190.12</v>
      </c>
      <c r="F87" s="1959">
        <v>193.14</v>
      </c>
      <c r="G87" s="1964"/>
      <c r="H87" s="1959"/>
      <c r="I87" s="1964"/>
      <c r="J87" s="1967"/>
      <c r="K87" s="1983"/>
      <c r="L87" s="1964"/>
      <c r="M87" s="1964"/>
      <c r="N87" s="1985"/>
      <c r="O87" s="1985"/>
      <c r="P87" s="1985"/>
      <c r="Q87" s="1324"/>
      <c r="R87" s="1324"/>
      <c r="S87" s="1324"/>
      <c r="T87" s="1324"/>
      <c r="U87" s="1324"/>
      <c r="V87" s="1324"/>
      <c r="W87" s="1325"/>
      <c r="X87" s="1326">
        <v>83</v>
      </c>
      <c r="Y87" s="1982"/>
      <c r="Z87" s="1964"/>
      <c r="AA87" s="1959">
        <v>112.65</v>
      </c>
      <c r="AB87" s="1964">
        <v>114.78</v>
      </c>
      <c r="AC87" s="1967">
        <v>116.92</v>
      </c>
      <c r="AD87" s="1959">
        <v>119.05</v>
      </c>
      <c r="AE87" s="1964"/>
      <c r="AF87" s="1959"/>
      <c r="AG87" s="1964"/>
      <c r="AH87" s="1967"/>
      <c r="AI87" s="1983"/>
      <c r="AJ87" s="1984"/>
      <c r="AK87" s="1985"/>
      <c r="AL87" s="1985"/>
      <c r="AM87" s="1985"/>
      <c r="AN87" s="1324"/>
      <c r="AO87" s="1324"/>
      <c r="AP87" s="1324"/>
      <c r="AQ87" s="1324"/>
      <c r="AR87" s="1324"/>
      <c r="AS87" s="1324"/>
      <c r="AT87" s="1324"/>
      <c r="AU87" s="1325"/>
      <c r="AV87" s="1327"/>
    </row>
    <row r="88" spans="1:48">
      <c r="A88" s="1941"/>
      <c r="B88" s="1954"/>
      <c r="C88" s="1959">
        <v>186.32</v>
      </c>
      <c r="D88" s="1964">
        <v>189.38</v>
      </c>
      <c r="E88" s="1967">
        <v>192.43</v>
      </c>
      <c r="F88" s="1959">
        <v>195.49</v>
      </c>
      <c r="G88" s="1964"/>
      <c r="H88" s="1959"/>
      <c r="I88" s="1964"/>
      <c r="J88" s="1967"/>
      <c r="K88" s="1983"/>
      <c r="L88" s="1964"/>
      <c r="M88" s="1964"/>
      <c r="N88" s="1985"/>
      <c r="O88" s="1985"/>
      <c r="P88" s="1985"/>
      <c r="Q88" s="1324"/>
      <c r="R88" s="1324"/>
      <c r="S88" s="1324"/>
      <c r="T88" s="1324"/>
      <c r="U88" s="1324"/>
      <c r="V88" s="1324"/>
      <c r="W88" s="1325"/>
      <c r="X88" s="1326">
        <v>84</v>
      </c>
      <c r="Y88" s="1982"/>
      <c r="Z88" s="1964"/>
      <c r="AA88" s="1959">
        <v>113.98</v>
      </c>
      <c r="AB88" s="1964">
        <v>116.14</v>
      </c>
      <c r="AC88" s="1967">
        <v>118.3</v>
      </c>
      <c r="AD88" s="1959">
        <v>120.42</v>
      </c>
      <c r="AE88" s="1964"/>
      <c r="AF88" s="1959"/>
      <c r="AG88" s="1964"/>
      <c r="AH88" s="1967"/>
      <c r="AI88" s="1983"/>
      <c r="AJ88" s="1984"/>
      <c r="AK88" s="1985"/>
      <c r="AL88" s="1985"/>
      <c r="AM88" s="1985"/>
      <c r="AN88" s="1324"/>
      <c r="AO88" s="1324"/>
      <c r="AP88" s="1324"/>
      <c r="AQ88" s="1324"/>
      <c r="AR88" s="1324"/>
      <c r="AS88" s="1324"/>
      <c r="AT88" s="1324"/>
      <c r="AU88" s="1325"/>
      <c r="AV88" s="1327"/>
    </row>
    <row r="89" spans="1:48">
      <c r="A89" s="1941"/>
      <c r="B89" s="1952"/>
      <c r="C89" s="1959">
        <v>188.57</v>
      </c>
      <c r="D89" s="1964">
        <v>191.67</v>
      </c>
      <c r="E89" s="1967">
        <v>194.76</v>
      </c>
      <c r="F89" s="1959">
        <v>197.85</v>
      </c>
      <c r="G89" s="1964"/>
      <c r="H89" s="1959"/>
      <c r="I89" s="1964"/>
      <c r="J89" s="1967"/>
      <c r="K89" s="1983"/>
      <c r="L89" s="1964"/>
      <c r="M89" s="1964"/>
      <c r="N89" s="1985"/>
      <c r="O89" s="1985"/>
      <c r="P89" s="1985"/>
      <c r="Q89" s="1324"/>
      <c r="R89" s="1324"/>
      <c r="S89" s="1324"/>
      <c r="T89" s="1324"/>
      <c r="U89" s="1324"/>
      <c r="V89" s="1324"/>
      <c r="W89" s="1325"/>
      <c r="X89" s="1326">
        <v>85</v>
      </c>
      <c r="Y89" s="1982"/>
      <c r="Z89" s="1964"/>
      <c r="AA89" s="1959">
        <v>115.35</v>
      </c>
      <c r="AB89" s="1964">
        <v>117.54</v>
      </c>
      <c r="AC89" s="1967">
        <v>119.72</v>
      </c>
      <c r="AD89" s="1959">
        <v>121.91</v>
      </c>
      <c r="AE89" s="1964"/>
      <c r="AF89" s="1959"/>
      <c r="AG89" s="1964"/>
      <c r="AH89" s="1967"/>
      <c r="AI89" s="1983"/>
      <c r="AJ89" s="1984"/>
      <c r="AK89" s="1985"/>
      <c r="AL89" s="1985"/>
      <c r="AM89" s="1985"/>
      <c r="AN89" s="1324"/>
      <c r="AO89" s="1324"/>
      <c r="AP89" s="1324"/>
      <c r="AQ89" s="1324"/>
      <c r="AR89" s="1324"/>
      <c r="AS89" s="1324"/>
      <c r="AT89" s="1324"/>
      <c r="AU89" s="1325"/>
      <c r="AV89" s="1327"/>
    </row>
    <row r="90" spans="1:48">
      <c r="A90" s="1944"/>
      <c r="B90" s="1954"/>
      <c r="C90" s="1959">
        <v>190.71</v>
      </c>
      <c r="D90" s="1964">
        <v>193.84</v>
      </c>
      <c r="E90" s="1967">
        <v>196.97</v>
      </c>
      <c r="F90" s="1959">
        <v>200.1</v>
      </c>
      <c r="G90" s="1964"/>
      <c r="H90" s="1959"/>
      <c r="I90" s="1964"/>
      <c r="J90" s="1967"/>
      <c r="K90" s="1983"/>
      <c r="L90" s="1964"/>
      <c r="M90" s="1964"/>
      <c r="N90" s="1985"/>
      <c r="O90" s="1985"/>
      <c r="P90" s="1985"/>
      <c r="Q90" s="1324"/>
      <c r="R90" s="1324"/>
      <c r="S90" s="1324"/>
      <c r="T90" s="1324"/>
      <c r="U90" s="1324"/>
      <c r="V90" s="1324"/>
      <c r="W90" s="1325"/>
      <c r="X90" s="1326">
        <v>86</v>
      </c>
      <c r="Y90" s="1982"/>
      <c r="Z90" s="1964"/>
      <c r="AA90" s="1959">
        <v>116.69</v>
      </c>
      <c r="AB90" s="1964">
        <v>118.9</v>
      </c>
      <c r="AC90" s="1967">
        <v>121.11</v>
      </c>
      <c r="AD90" s="1959">
        <v>123.32</v>
      </c>
      <c r="AE90" s="1964"/>
      <c r="AF90" s="1959"/>
      <c r="AG90" s="1964"/>
      <c r="AH90" s="1967"/>
      <c r="AI90" s="1983"/>
      <c r="AJ90" s="1984"/>
      <c r="AK90" s="1985"/>
      <c r="AL90" s="1985"/>
      <c r="AM90" s="1985"/>
      <c r="AN90" s="1324"/>
      <c r="AO90" s="1324"/>
      <c r="AP90" s="1324"/>
      <c r="AQ90" s="1324"/>
      <c r="AR90" s="1324"/>
      <c r="AS90" s="1324"/>
      <c r="AT90" s="1324"/>
      <c r="AU90" s="1325"/>
      <c r="AV90" s="1327"/>
    </row>
    <row r="91" spans="1:48">
      <c r="A91" s="1941"/>
      <c r="B91" s="1954"/>
      <c r="C91" s="1959">
        <v>192.86</v>
      </c>
      <c r="D91" s="1964">
        <v>196.02</v>
      </c>
      <c r="E91" s="1967">
        <v>199.19</v>
      </c>
      <c r="F91" s="1959">
        <v>202.36</v>
      </c>
      <c r="G91" s="1964"/>
      <c r="H91" s="1959"/>
      <c r="I91" s="1964"/>
      <c r="J91" s="1967"/>
      <c r="K91" s="1983"/>
      <c r="L91" s="1964"/>
      <c r="M91" s="1964"/>
      <c r="N91" s="1985"/>
      <c r="O91" s="1985"/>
      <c r="P91" s="1985"/>
      <c r="Q91" s="1324"/>
      <c r="R91" s="1324"/>
      <c r="S91" s="1324"/>
      <c r="T91" s="1324"/>
      <c r="U91" s="1324"/>
      <c r="V91" s="1324"/>
      <c r="W91" s="1325"/>
      <c r="X91" s="1326">
        <v>87</v>
      </c>
      <c r="Y91" s="1982"/>
      <c r="Z91" s="1964"/>
      <c r="AA91" s="1959">
        <v>118.03</v>
      </c>
      <c r="AB91" s="1964">
        <v>120.27</v>
      </c>
      <c r="AC91" s="1967">
        <v>122.51</v>
      </c>
      <c r="AD91" s="1959">
        <v>124.74</v>
      </c>
      <c r="AE91" s="1964"/>
      <c r="AF91" s="1959"/>
      <c r="AG91" s="1964"/>
      <c r="AH91" s="1967"/>
      <c r="AI91" s="1983"/>
      <c r="AJ91" s="1984"/>
      <c r="AK91" s="1985"/>
      <c r="AL91" s="1985"/>
      <c r="AM91" s="1985"/>
      <c r="AN91" s="1324"/>
      <c r="AO91" s="1324"/>
      <c r="AP91" s="1324"/>
      <c r="AQ91" s="1324"/>
      <c r="AR91" s="1324"/>
      <c r="AS91" s="1324"/>
      <c r="AT91" s="1324"/>
      <c r="AU91" s="1325"/>
      <c r="AV91" s="1327"/>
    </row>
    <row r="92" spans="1:48">
      <c r="A92" s="1941"/>
      <c r="B92" s="1954"/>
      <c r="C92" s="1959">
        <v>195.14</v>
      </c>
      <c r="D92" s="1964">
        <v>198.35</v>
      </c>
      <c r="E92" s="1967">
        <v>201.55</v>
      </c>
      <c r="F92" s="1959">
        <v>204.75</v>
      </c>
      <c r="G92" s="1964"/>
      <c r="H92" s="1959"/>
      <c r="I92" s="1964"/>
      <c r="J92" s="1967"/>
      <c r="K92" s="1983"/>
      <c r="L92" s="1964"/>
      <c r="M92" s="1964"/>
      <c r="N92" s="1985"/>
      <c r="O92" s="1985"/>
      <c r="P92" s="1985"/>
      <c r="Q92" s="1324"/>
      <c r="R92" s="1324"/>
      <c r="S92" s="1324"/>
      <c r="T92" s="1324"/>
      <c r="U92" s="1324"/>
      <c r="V92" s="1324"/>
      <c r="W92" s="1325"/>
      <c r="X92" s="1326">
        <v>88</v>
      </c>
      <c r="Y92" s="1982"/>
      <c r="Z92" s="1964"/>
      <c r="AA92" s="1959">
        <v>119.38</v>
      </c>
      <c r="AB92" s="1964">
        <v>121.64</v>
      </c>
      <c r="AC92" s="1967">
        <v>123.9</v>
      </c>
      <c r="AD92" s="1959">
        <v>126.16</v>
      </c>
      <c r="AE92" s="1964"/>
      <c r="AF92" s="1959"/>
      <c r="AG92" s="1964"/>
      <c r="AH92" s="1967"/>
      <c r="AI92" s="1983"/>
      <c r="AJ92" s="1984"/>
      <c r="AK92" s="1985"/>
      <c r="AL92" s="1985"/>
      <c r="AM92" s="1985"/>
      <c r="AN92" s="1324"/>
      <c r="AO92" s="1324"/>
      <c r="AP92" s="1324"/>
      <c r="AQ92" s="1324"/>
      <c r="AR92" s="1324"/>
      <c r="AS92" s="1324"/>
      <c r="AT92" s="1324"/>
      <c r="AU92" s="1325"/>
      <c r="AV92" s="1327"/>
    </row>
    <row r="93" spans="1:48">
      <c r="A93" s="1941"/>
      <c r="B93" s="1951"/>
      <c r="C93" s="1959">
        <v>197.31</v>
      </c>
      <c r="D93" s="1964">
        <v>200.55</v>
      </c>
      <c r="E93" s="1967">
        <v>203.79</v>
      </c>
      <c r="F93" s="1959">
        <v>207.03</v>
      </c>
      <c r="G93" s="1964"/>
      <c r="H93" s="1959"/>
      <c r="I93" s="1964"/>
      <c r="J93" s="1967"/>
      <c r="K93" s="1983"/>
      <c r="L93" s="1964"/>
      <c r="M93" s="1964"/>
      <c r="N93" s="1985"/>
      <c r="O93" s="1985"/>
      <c r="P93" s="1985"/>
      <c r="Q93" s="1324"/>
      <c r="R93" s="1324"/>
      <c r="S93" s="1324"/>
      <c r="T93" s="1324"/>
      <c r="U93" s="1324"/>
      <c r="V93" s="1324"/>
      <c r="W93" s="1325"/>
      <c r="X93" s="1326">
        <v>89</v>
      </c>
      <c r="Y93" s="1982"/>
      <c r="Z93" s="1964"/>
      <c r="AA93" s="1959">
        <v>120.78</v>
      </c>
      <c r="AB93" s="1964">
        <v>123.01</v>
      </c>
      <c r="AC93" s="1967">
        <v>125.3</v>
      </c>
      <c r="AD93" s="1959">
        <v>127.59</v>
      </c>
      <c r="AE93" s="1964"/>
      <c r="AF93" s="1959"/>
      <c r="AG93" s="1964"/>
      <c r="AH93" s="1967"/>
      <c r="AI93" s="1983"/>
      <c r="AJ93" s="1984"/>
      <c r="AK93" s="1985"/>
      <c r="AL93" s="1985"/>
      <c r="AM93" s="1985"/>
      <c r="AN93" s="1324"/>
      <c r="AO93" s="1324"/>
      <c r="AP93" s="1324"/>
      <c r="AQ93" s="1324"/>
      <c r="AR93" s="1324"/>
      <c r="AS93" s="1324"/>
      <c r="AT93" s="1324"/>
      <c r="AU93" s="1325"/>
      <c r="AV93" s="1327"/>
    </row>
    <row r="94" spans="1:48">
      <c r="A94" s="1942"/>
      <c r="B94" s="1952"/>
      <c r="C94" s="1959">
        <v>199.48</v>
      </c>
      <c r="D94" s="1964">
        <v>202.76</v>
      </c>
      <c r="E94" s="1967">
        <v>206.03</v>
      </c>
      <c r="F94" s="1959">
        <v>209.31</v>
      </c>
      <c r="G94" s="1964"/>
      <c r="H94" s="1959"/>
      <c r="I94" s="1964"/>
      <c r="J94" s="1967"/>
      <c r="K94" s="1983"/>
      <c r="L94" s="1964"/>
      <c r="M94" s="1964"/>
      <c r="N94" s="1985"/>
      <c r="O94" s="1985"/>
      <c r="P94" s="1985"/>
      <c r="Q94" s="1324"/>
      <c r="R94" s="1324"/>
      <c r="S94" s="1324"/>
      <c r="T94" s="1324"/>
      <c r="U94" s="1324"/>
      <c r="V94" s="1324"/>
      <c r="W94" s="1325"/>
      <c r="X94" s="1326">
        <v>90</v>
      </c>
      <c r="Y94" s="1982"/>
      <c r="Z94" s="1964"/>
      <c r="AA94" s="1959">
        <v>122.11</v>
      </c>
      <c r="AB94" s="1964">
        <v>124.42</v>
      </c>
      <c r="AC94" s="1967">
        <v>126.73</v>
      </c>
      <c r="AD94" s="1959">
        <v>129.05000000000001</v>
      </c>
      <c r="AE94" s="1964"/>
      <c r="AF94" s="1959"/>
      <c r="AG94" s="1964"/>
      <c r="AH94" s="1967"/>
      <c r="AI94" s="1983"/>
      <c r="AJ94" s="1984"/>
      <c r="AK94" s="1985"/>
      <c r="AL94" s="1985"/>
      <c r="AM94" s="1985"/>
      <c r="AN94" s="1324"/>
      <c r="AO94" s="1324"/>
      <c r="AP94" s="1324"/>
      <c r="AQ94" s="1324"/>
      <c r="AR94" s="1324"/>
      <c r="AS94" s="1324"/>
      <c r="AT94" s="1324"/>
      <c r="AU94" s="1325"/>
      <c r="AV94" s="1327"/>
    </row>
    <row r="95" spans="1:48">
      <c r="A95" s="1941"/>
      <c r="B95" s="1953"/>
      <c r="C95" s="1959">
        <v>201.8</v>
      </c>
      <c r="D95" s="1964">
        <v>205.11</v>
      </c>
      <c r="E95" s="1967">
        <v>208.43</v>
      </c>
      <c r="F95" s="1959">
        <v>211.74</v>
      </c>
      <c r="G95" s="1964"/>
      <c r="H95" s="1959"/>
      <c r="I95" s="1964"/>
      <c r="J95" s="1967"/>
      <c r="K95" s="1983"/>
      <c r="L95" s="1964"/>
      <c r="M95" s="1964"/>
      <c r="N95" s="1985"/>
      <c r="O95" s="1985"/>
      <c r="P95" s="1985"/>
      <c r="Q95" s="1324"/>
      <c r="R95" s="1324"/>
      <c r="S95" s="1324"/>
      <c r="T95" s="1324"/>
      <c r="U95" s="1324"/>
      <c r="V95" s="1324"/>
      <c r="W95" s="1325"/>
      <c r="X95" s="1326">
        <v>91</v>
      </c>
      <c r="Y95" s="1982"/>
      <c r="Z95" s="1964"/>
      <c r="AA95" s="1959">
        <v>123.46</v>
      </c>
      <c r="AB95" s="1964">
        <v>125.8</v>
      </c>
      <c r="AC95" s="1967">
        <v>128.13999999999999</v>
      </c>
      <c r="AD95" s="1959">
        <v>130.47999999999999</v>
      </c>
      <c r="AE95" s="1964"/>
      <c r="AF95" s="1959"/>
      <c r="AG95" s="1964"/>
      <c r="AH95" s="1967"/>
      <c r="AI95" s="1983"/>
      <c r="AJ95" s="1984"/>
      <c r="AK95" s="1985"/>
      <c r="AL95" s="1985"/>
      <c r="AM95" s="1985"/>
      <c r="AN95" s="1324"/>
      <c r="AO95" s="1324"/>
      <c r="AP95" s="1324"/>
      <c r="AQ95" s="1324"/>
      <c r="AR95" s="1324"/>
      <c r="AS95" s="1324"/>
      <c r="AT95" s="1324"/>
      <c r="AU95" s="1325"/>
      <c r="AV95" s="1327"/>
    </row>
    <row r="96" spans="1:48">
      <c r="A96" s="1942"/>
      <c r="B96" s="1954"/>
      <c r="C96" s="1959">
        <v>203.99</v>
      </c>
      <c r="D96" s="1964">
        <v>207.34</v>
      </c>
      <c r="E96" s="1967">
        <v>210.69</v>
      </c>
      <c r="F96" s="1959">
        <v>214.04</v>
      </c>
      <c r="G96" s="1964"/>
      <c r="H96" s="1959"/>
      <c r="I96" s="1964"/>
      <c r="J96" s="1967"/>
      <c r="K96" s="1983"/>
      <c r="L96" s="1964"/>
      <c r="M96" s="1964"/>
      <c r="N96" s="1985"/>
      <c r="O96" s="1985"/>
      <c r="P96" s="1985"/>
      <c r="Q96" s="1324"/>
      <c r="R96" s="1324"/>
      <c r="S96" s="1324"/>
      <c r="T96" s="1324"/>
      <c r="U96" s="1324"/>
      <c r="V96" s="1324"/>
      <c r="W96" s="1325"/>
      <c r="X96" s="1326">
        <v>92</v>
      </c>
      <c r="Y96" s="1982"/>
      <c r="Z96" s="1964"/>
      <c r="AA96" s="1959">
        <v>124.77</v>
      </c>
      <c r="AB96" s="1964">
        <v>127.14</v>
      </c>
      <c r="AC96" s="1967">
        <v>129.5</v>
      </c>
      <c r="AD96" s="1959">
        <v>131.87</v>
      </c>
      <c r="AE96" s="1964"/>
      <c r="AF96" s="1959"/>
      <c r="AG96" s="1964"/>
      <c r="AH96" s="1967"/>
      <c r="AI96" s="1983"/>
      <c r="AJ96" s="1984"/>
      <c r="AK96" s="1985"/>
      <c r="AL96" s="1985"/>
      <c r="AM96" s="1985"/>
      <c r="AN96" s="1324"/>
      <c r="AO96" s="1324"/>
      <c r="AP96" s="1324"/>
      <c r="AQ96" s="1324"/>
      <c r="AR96" s="1324"/>
      <c r="AS96" s="1324"/>
      <c r="AT96" s="1324"/>
      <c r="AU96" s="1325"/>
      <c r="AV96" s="1327"/>
    </row>
    <row r="97" spans="1:48">
      <c r="A97" s="1941"/>
      <c r="B97" s="1954"/>
      <c r="C97" s="1959">
        <v>206.2</v>
      </c>
      <c r="D97" s="1964">
        <v>209.58</v>
      </c>
      <c r="E97" s="1967">
        <v>212.97</v>
      </c>
      <c r="F97" s="1959">
        <v>216.35</v>
      </c>
      <c r="G97" s="1964"/>
      <c r="H97" s="1959"/>
      <c r="I97" s="1964"/>
      <c r="J97" s="1967"/>
      <c r="K97" s="1983"/>
      <c r="L97" s="1964"/>
      <c r="M97" s="1964"/>
      <c r="N97" s="1985"/>
      <c r="O97" s="1985"/>
      <c r="P97" s="1985"/>
      <c r="Q97" s="1324"/>
      <c r="R97" s="1324"/>
      <c r="S97" s="1324"/>
      <c r="T97" s="1324"/>
      <c r="U97" s="1324"/>
      <c r="V97" s="1324"/>
      <c r="W97" s="1325"/>
      <c r="X97" s="1326">
        <v>93</v>
      </c>
      <c r="Y97" s="1982"/>
      <c r="Z97" s="1964"/>
      <c r="AA97" s="1959">
        <v>126.13</v>
      </c>
      <c r="AB97" s="1964">
        <v>128.52000000000001</v>
      </c>
      <c r="AC97" s="1967">
        <v>130.91</v>
      </c>
      <c r="AD97" s="1959">
        <v>133.30000000000001</v>
      </c>
      <c r="AE97" s="1964"/>
      <c r="AF97" s="1959"/>
      <c r="AG97" s="1964"/>
      <c r="AH97" s="1967"/>
      <c r="AI97" s="1983"/>
      <c r="AJ97" s="1984"/>
      <c r="AK97" s="1985"/>
      <c r="AL97" s="1985"/>
      <c r="AM97" s="1985"/>
      <c r="AN97" s="1324"/>
      <c r="AO97" s="1324"/>
      <c r="AP97" s="1324"/>
      <c r="AQ97" s="1324"/>
      <c r="AR97" s="1324"/>
      <c r="AS97" s="1324"/>
      <c r="AT97" s="1324"/>
      <c r="AU97" s="1325"/>
      <c r="AV97" s="1327"/>
    </row>
    <row r="98" spans="1:48">
      <c r="A98" s="1944"/>
      <c r="B98" s="1954"/>
      <c r="C98" s="1959">
        <v>208.41</v>
      </c>
      <c r="D98" s="1964">
        <v>311.83</v>
      </c>
      <c r="E98" s="1967">
        <v>215.25</v>
      </c>
      <c r="F98" s="1959">
        <v>218.67</v>
      </c>
      <c r="G98" s="1964"/>
      <c r="H98" s="1959"/>
      <c r="I98" s="1964"/>
      <c r="J98" s="1967"/>
      <c r="K98" s="1983"/>
      <c r="L98" s="1964"/>
      <c r="M98" s="1964"/>
      <c r="N98" s="1985"/>
      <c r="O98" s="1985"/>
      <c r="P98" s="1985"/>
      <c r="Q98" s="1324"/>
      <c r="R98" s="1324"/>
      <c r="S98" s="1324"/>
      <c r="T98" s="1324"/>
      <c r="U98" s="1324"/>
      <c r="V98" s="1324"/>
      <c r="W98" s="1325"/>
      <c r="X98" s="1326">
        <v>94</v>
      </c>
      <c r="Y98" s="1982"/>
      <c r="Z98" s="1964"/>
      <c r="AA98" s="1959">
        <v>127.49</v>
      </c>
      <c r="AB98" s="1964">
        <v>129.9</v>
      </c>
      <c r="AC98" s="1967">
        <v>132.32</v>
      </c>
      <c r="AD98" s="1959">
        <v>134.72999999999999</v>
      </c>
      <c r="AE98" s="1964"/>
      <c r="AF98" s="1959"/>
      <c r="AG98" s="1964"/>
      <c r="AH98" s="1967"/>
      <c r="AI98" s="1983"/>
      <c r="AJ98" s="1984"/>
      <c r="AK98" s="1985"/>
      <c r="AL98" s="1985"/>
      <c r="AM98" s="1985"/>
      <c r="AN98" s="1324"/>
      <c r="AO98" s="1324"/>
      <c r="AP98" s="1324"/>
      <c r="AQ98" s="1324"/>
      <c r="AR98" s="1324"/>
      <c r="AS98" s="1324"/>
      <c r="AT98" s="1324"/>
      <c r="AU98" s="1325"/>
      <c r="AV98" s="1327"/>
    </row>
    <row r="99" spans="1:48">
      <c r="A99" s="1941"/>
      <c r="B99" s="1954"/>
      <c r="C99" s="1959">
        <v>210.47</v>
      </c>
      <c r="D99" s="1964">
        <v>213.93</v>
      </c>
      <c r="E99" s="1967">
        <v>217.39</v>
      </c>
      <c r="F99" s="1959">
        <v>220.85</v>
      </c>
      <c r="G99" s="1964"/>
      <c r="H99" s="1959"/>
      <c r="I99" s="1964"/>
      <c r="J99" s="1967"/>
      <c r="K99" s="1983"/>
      <c r="L99" s="1964"/>
      <c r="M99" s="1964"/>
      <c r="N99" s="1985"/>
      <c r="O99" s="1985"/>
      <c r="P99" s="1985"/>
      <c r="Q99" s="1324"/>
      <c r="R99" s="1324"/>
      <c r="S99" s="1324"/>
      <c r="T99" s="1324"/>
      <c r="U99" s="1324"/>
      <c r="V99" s="1324"/>
      <c r="W99" s="1325"/>
      <c r="X99" s="1326">
        <v>95</v>
      </c>
      <c r="Y99" s="1982"/>
      <c r="Z99" s="1964"/>
      <c r="AA99" s="1959">
        <v>128.85</v>
      </c>
      <c r="AB99" s="1964">
        <v>131.29</v>
      </c>
      <c r="AC99" s="1967">
        <v>133.72999999999999</v>
      </c>
      <c r="AD99" s="1959">
        <v>136.16999999999999</v>
      </c>
      <c r="AE99" s="1964"/>
      <c r="AF99" s="1959"/>
      <c r="AG99" s="1964"/>
      <c r="AH99" s="1967"/>
      <c r="AI99" s="1983"/>
      <c r="AJ99" s="1984"/>
      <c r="AK99" s="1985"/>
      <c r="AL99" s="1985"/>
      <c r="AM99" s="1985"/>
      <c r="AN99" s="1324"/>
      <c r="AO99" s="1324"/>
      <c r="AP99" s="1324"/>
      <c r="AQ99" s="1324"/>
      <c r="AR99" s="1324"/>
      <c r="AS99" s="1324"/>
      <c r="AT99" s="1324"/>
      <c r="AU99" s="1325"/>
      <c r="AV99" s="1327"/>
    </row>
    <row r="100" spans="1:48">
      <c r="A100" s="1942"/>
      <c r="B100" s="1952"/>
      <c r="C100" s="1959">
        <v>212.7</v>
      </c>
      <c r="D100" s="1964">
        <v>216.19</v>
      </c>
      <c r="E100" s="1967">
        <v>219.69</v>
      </c>
      <c r="F100" s="1959">
        <v>223.18</v>
      </c>
      <c r="G100" s="1964"/>
      <c r="H100" s="1959"/>
      <c r="I100" s="1964"/>
      <c r="J100" s="1967"/>
      <c r="K100" s="1983"/>
      <c r="L100" s="1964"/>
      <c r="M100" s="1964"/>
      <c r="N100" s="1985"/>
      <c r="O100" s="1985"/>
      <c r="P100" s="1985"/>
      <c r="Q100" s="1324"/>
      <c r="R100" s="1324"/>
      <c r="S100" s="1324"/>
      <c r="T100" s="1324"/>
      <c r="U100" s="1324"/>
      <c r="V100" s="1324"/>
      <c r="W100" s="1325"/>
      <c r="X100" s="1326">
        <v>96</v>
      </c>
      <c r="Y100" s="1982"/>
      <c r="Z100" s="1964"/>
      <c r="AA100" s="1959">
        <v>130.21</v>
      </c>
      <c r="AB100" s="1964">
        <v>132.68</v>
      </c>
      <c r="AC100" s="1967">
        <v>135.13999999999999</v>
      </c>
      <c r="AD100" s="1959">
        <v>137.61000000000001</v>
      </c>
      <c r="AE100" s="1964"/>
      <c r="AF100" s="1959"/>
      <c r="AG100" s="1964"/>
      <c r="AH100" s="1967"/>
      <c r="AI100" s="1983"/>
      <c r="AJ100" s="1984"/>
      <c r="AK100" s="1985"/>
      <c r="AL100" s="1985"/>
      <c r="AM100" s="1985"/>
      <c r="AN100" s="1324"/>
      <c r="AO100" s="1324"/>
      <c r="AP100" s="1324"/>
      <c r="AQ100" s="1324"/>
      <c r="AR100" s="1324"/>
      <c r="AS100" s="1324"/>
      <c r="AT100" s="1324"/>
      <c r="AU100" s="1325"/>
      <c r="AV100" s="1327"/>
    </row>
    <row r="101" spans="1:48">
      <c r="A101" s="1944"/>
      <c r="B101" s="1952"/>
      <c r="C101" s="1959">
        <v>214.94</v>
      </c>
      <c r="D101" s="1964">
        <v>218.47</v>
      </c>
      <c r="E101" s="1967">
        <v>222</v>
      </c>
      <c r="F101" s="1959">
        <v>225.53</v>
      </c>
      <c r="G101" s="1964"/>
      <c r="H101" s="1959"/>
      <c r="I101" s="1964"/>
      <c r="J101" s="1967"/>
      <c r="K101" s="1983"/>
      <c r="L101" s="1964"/>
      <c r="M101" s="1964"/>
      <c r="N101" s="1985"/>
      <c r="O101" s="1985"/>
      <c r="P101" s="1985"/>
      <c r="Q101" s="1324"/>
      <c r="R101" s="1324"/>
      <c r="S101" s="1324"/>
      <c r="T101" s="1324"/>
      <c r="U101" s="1324"/>
      <c r="V101" s="1324"/>
      <c r="W101" s="1325"/>
      <c r="X101" s="1326">
        <v>97</v>
      </c>
      <c r="Y101" s="1982"/>
      <c r="Z101" s="1964"/>
      <c r="AA101" s="1959">
        <v>131.53</v>
      </c>
      <c r="AB101" s="1964">
        <v>134.02000000000001</v>
      </c>
      <c r="AC101" s="1967">
        <v>136.52000000000001</v>
      </c>
      <c r="AD101" s="1959">
        <v>139.01</v>
      </c>
      <c r="AE101" s="1964"/>
      <c r="AF101" s="1959"/>
      <c r="AG101" s="1964"/>
      <c r="AH101" s="1967"/>
      <c r="AI101" s="1983"/>
      <c r="AJ101" s="1984"/>
      <c r="AK101" s="1985"/>
      <c r="AL101" s="1985"/>
      <c r="AM101" s="1985"/>
      <c r="AN101" s="1324"/>
      <c r="AO101" s="1324"/>
      <c r="AP101" s="1324"/>
      <c r="AQ101" s="1324"/>
      <c r="AR101" s="1324"/>
      <c r="AS101" s="1324"/>
      <c r="AT101" s="1324"/>
      <c r="AU101" s="1325"/>
      <c r="AV101" s="1327"/>
    </row>
    <row r="102" spans="1:48">
      <c r="A102" s="1941"/>
      <c r="B102" s="1954"/>
      <c r="C102" s="1959">
        <v>217.18</v>
      </c>
      <c r="D102" s="1964">
        <v>220.75</v>
      </c>
      <c r="E102" s="1967">
        <v>224.32</v>
      </c>
      <c r="F102" s="1959">
        <v>227.89</v>
      </c>
      <c r="G102" s="1964"/>
      <c r="H102" s="1959"/>
      <c r="I102" s="1964"/>
      <c r="J102" s="1967"/>
      <c r="K102" s="1983"/>
      <c r="L102" s="1964"/>
      <c r="M102" s="1964"/>
      <c r="N102" s="1985"/>
      <c r="O102" s="1985"/>
      <c r="P102" s="1985"/>
      <c r="Q102" s="1324"/>
      <c r="R102" s="1324"/>
      <c r="S102" s="1324"/>
      <c r="T102" s="1324"/>
      <c r="U102" s="1324"/>
      <c r="V102" s="1324"/>
      <c r="W102" s="1325"/>
      <c r="X102" s="1326">
        <v>98</v>
      </c>
      <c r="Y102" s="1982"/>
      <c r="Z102" s="1964"/>
      <c r="AA102" s="1959">
        <v>132.9</v>
      </c>
      <c r="AB102" s="1964">
        <v>135.41999999999999</v>
      </c>
      <c r="AC102" s="1967">
        <v>137.94</v>
      </c>
      <c r="AD102" s="1959">
        <v>140.44999999999999</v>
      </c>
      <c r="AE102" s="1964"/>
      <c r="AF102" s="1959"/>
      <c r="AG102" s="1964"/>
      <c r="AH102" s="1967"/>
      <c r="AI102" s="1983"/>
      <c r="AJ102" s="1984"/>
      <c r="AK102" s="1985"/>
      <c r="AL102" s="1985"/>
      <c r="AM102" s="1985"/>
      <c r="AN102" s="1324"/>
      <c r="AO102" s="1324"/>
      <c r="AP102" s="1324"/>
      <c r="AQ102" s="1324"/>
      <c r="AR102" s="1324"/>
      <c r="AS102" s="1324"/>
      <c r="AT102" s="1324"/>
      <c r="AU102" s="1325"/>
      <c r="AV102" s="1327"/>
    </row>
    <row r="103" spans="1:48">
      <c r="A103" s="1942"/>
      <c r="B103" s="1954"/>
      <c r="C103" s="1959">
        <v>219.44</v>
      </c>
      <c r="D103" s="1964">
        <v>223.05</v>
      </c>
      <c r="E103" s="1967">
        <v>226.65</v>
      </c>
      <c r="F103" s="1959">
        <v>230.25</v>
      </c>
      <c r="G103" s="1964"/>
      <c r="H103" s="1959"/>
      <c r="I103" s="1964"/>
      <c r="J103" s="1967"/>
      <c r="K103" s="1983"/>
      <c r="L103" s="1964"/>
      <c r="M103" s="1964"/>
      <c r="N103" s="1985"/>
      <c r="O103" s="1985"/>
      <c r="P103" s="1985"/>
      <c r="Q103" s="1324"/>
      <c r="R103" s="1324"/>
      <c r="S103" s="1324"/>
      <c r="T103" s="1324"/>
      <c r="U103" s="1324"/>
      <c r="V103" s="1324"/>
      <c r="W103" s="1325"/>
      <c r="X103" s="1326">
        <v>99</v>
      </c>
      <c r="Y103" s="1982"/>
      <c r="Z103" s="1964"/>
      <c r="AA103" s="1959">
        <v>134.22</v>
      </c>
      <c r="AB103" s="1964">
        <v>136.77000000000001</v>
      </c>
      <c r="AC103" s="1967">
        <v>139.31</v>
      </c>
      <c r="AD103" s="1959">
        <v>141.86000000000001</v>
      </c>
      <c r="AE103" s="1964"/>
      <c r="AF103" s="1959"/>
      <c r="AG103" s="1964"/>
      <c r="AH103" s="1967"/>
      <c r="AI103" s="1983"/>
      <c r="AJ103" s="1984"/>
      <c r="AK103" s="1985"/>
      <c r="AL103" s="1985"/>
      <c r="AM103" s="1985"/>
      <c r="AN103" s="1324"/>
      <c r="AO103" s="1324"/>
      <c r="AP103" s="1324"/>
      <c r="AQ103" s="1324"/>
      <c r="AR103" s="1324"/>
      <c r="AS103" s="1324"/>
      <c r="AT103" s="1324"/>
      <c r="AU103" s="1325"/>
      <c r="AV103" s="1327"/>
    </row>
    <row r="104" spans="1:48">
      <c r="A104" s="1941"/>
      <c r="B104" s="1952"/>
      <c r="C104" s="1959">
        <v>221.54</v>
      </c>
      <c r="D104" s="1964">
        <v>225.18</v>
      </c>
      <c r="E104" s="1967">
        <v>228.82</v>
      </c>
      <c r="F104" s="1959">
        <v>232.46</v>
      </c>
      <c r="G104" s="1964"/>
      <c r="H104" s="1959"/>
      <c r="I104" s="1964"/>
      <c r="J104" s="1967"/>
      <c r="K104" s="1983"/>
      <c r="L104" s="1964"/>
      <c r="M104" s="1964"/>
      <c r="N104" s="1985"/>
      <c r="O104" s="1985"/>
      <c r="P104" s="1985"/>
      <c r="Q104" s="1324"/>
      <c r="R104" s="1324"/>
      <c r="S104" s="1324"/>
      <c r="T104" s="1324"/>
      <c r="U104" s="1324"/>
      <c r="V104" s="1324"/>
      <c r="W104" s="1325"/>
      <c r="X104" s="1326">
        <v>100</v>
      </c>
      <c r="Y104" s="1982"/>
      <c r="Z104" s="1964"/>
      <c r="AA104" s="1959">
        <v>135.6</v>
      </c>
      <c r="AB104" s="1964">
        <v>138.16999999999999</v>
      </c>
      <c r="AC104" s="1967">
        <v>140.74</v>
      </c>
      <c r="AD104" s="1959">
        <v>143.31</v>
      </c>
      <c r="AE104" s="1964"/>
      <c r="AF104" s="1959"/>
      <c r="AG104" s="1964"/>
      <c r="AH104" s="1967"/>
      <c r="AI104" s="1983"/>
      <c r="AJ104" s="1984"/>
      <c r="AK104" s="1985"/>
      <c r="AL104" s="1985"/>
      <c r="AM104" s="1985"/>
      <c r="AN104" s="1324"/>
      <c r="AO104" s="1324"/>
      <c r="AP104" s="1324"/>
      <c r="AQ104" s="1324"/>
      <c r="AR104" s="1324"/>
      <c r="AS104" s="1324"/>
      <c r="AT104" s="1324"/>
      <c r="AU104" s="1325"/>
      <c r="AV104" s="1327"/>
    </row>
    <row r="105" spans="1:48">
      <c r="A105" s="1941"/>
      <c r="B105" s="1952"/>
      <c r="C105" s="1959">
        <v>223.82</v>
      </c>
      <c r="D105" s="1964">
        <v>227.5</v>
      </c>
      <c r="E105" s="1967">
        <v>231.17</v>
      </c>
      <c r="F105" s="1959">
        <v>234.85</v>
      </c>
      <c r="G105" s="1964"/>
      <c r="H105" s="1959"/>
      <c r="I105" s="1964"/>
      <c r="J105" s="1967"/>
      <c r="K105" s="1983"/>
      <c r="L105" s="1964"/>
      <c r="M105" s="1964"/>
      <c r="N105" s="1985"/>
      <c r="O105" s="1985"/>
      <c r="P105" s="1985"/>
      <c r="Q105" s="1324"/>
      <c r="R105" s="1324"/>
      <c r="S105" s="1324"/>
      <c r="T105" s="1324"/>
      <c r="U105" s="1324"/>
      <c r="V105" s="1324"/>
      <c r="W105" s="1325"/>
      <c r="X105" s="1326">
        <v>101</v>
      </c>
      <c r="Y105" s="1982"/>
      <c r="Z105" s="1964"/>
      <c r="AA105" s="1959">
        <v>136.93</v>
      </c>
      <c r="AB105" s="1964">
        <v>139.52000000000001</v>
      </c>
      <c r="AC105" s="1967">
        <v>142.12</v>
      </c>
      <c r="AD105" s="1959">
        <v>144.71</v>
      </c>
      <c r="AE105" s="1964"/>
      <c r="AF105" s="1959"/>
      <c r="AG105" s="1964"/>
      <c r="AH105" s="1967"/>
      <c r="AI105" s="1983"/>
      <c r="AJ105" s="1984"/>
      <c r="AK105" s="1985"/>
      <c r="AL105" s="1985"/>
      <c r="AM105" s="1985"/>
      <c r="AN105" s="1324"/>
      <c r="AO105" s="1324"/>
      <c r="AP105" s="1324"/>
      <c r="AQ105" s="1324"/>
      <c r="AR105" s="1324"/>
      <c r="AS105" s="1324"/>
      <c r="AT105" s="1324"/>
      <c r="AU105" s="1325"/>
      <c r="AV105" s="1327"/>
    </row>
    <row r="106" spans="1:48">
      <c r="A106" s="1941"/>
      <c r="B106" s="1954"/>
      <c r="C106" s="1959">
        <v>225.93</v>
      </c>
      <c r="D106" s="1964">
        <v>229.64</v>
      </c>
      <c r="E106" s="1967">
        <v>233.36</v>
      </c>
      <c r="F106" s="1959">
        <v>237.07</v>
      </c>
      <c r="G106" s="1964"/>
      <c r="H106" s="1959"/>
      <c r="I106" s="1964"/>
      <c r="J106" s="1967"/>
      <c r="K106" s="1983"/>
      <c r="L106" s="1964"/>
      <c r="M106" s="1964"/>
      <c r="N106" s="1985"/>
      <c r="O106" s="1985"/>
      <c r="P106" s="1985"/>
      <c r="Q106" s="1324"/>
      <c r="R106" s="1324"/>
      <c r="S106" s="1324"/>
      <c r="T106" s="1324"/>
      <c r="U106" s="1324"/>
      <c r="V106" s="1324"/>
      <c r="W106" s="1325"/>
      <c r="X106" s="1326">
        <v>102</v>
      </c>
      <c r="Y106" s="1982"/>
      <c r="Z106" s="1964"/>
      <c r="AA106" s="1959">
        <v>138.30000000000001</v>
      </c>
      <c r="AB106" s="1964">
        <v>140.93</v>
      </c>
      <c r="AC106" s="1967">
        <v>143.55000000000001</v>
      </c>
      <c r="AD106" s="1959">
        <v>146.16999999999999</v>
      </c>
      <c r="AE106" s="1964"/>
      <c r="AF106" s="1959"/>
      <c r="AG106" s="1964"/>
      <c r="AH106" s="1967"/>
      <c r="AI106" s="1983"/>
      <c r="AJ106" s="1984"/>
      <c r="AK106" s="1985"/>
      <c r="AL106" s="1985"/>
      <c r="AM106" s="1985"/>
      <c r="AN106" s="1324"/>
      <c r="AO106" s="1324"/>
      <c r="AP106" s="1324"/>
      <c r="AQ106" s="1324"/>
      <c r="AR106" s="1324"/>
      <c r="AS106" s="1324"/>
      <c r="AT106" s="1324"/>
      <c r="AU106" s="1325"/>
      <c r="AV106" s="1327"/>
    </row>
    <row r="107" spans="1:48">
      <c r="A107" s="1941"/>
      <c r="B107" s="1952"/>
      <c r="C107" s="1959">
        <v>228.23</v>
      </c>
      <c r="D107" s="1964">
        <v>231.98</v>
      </c>
      <c r="E107" s="1967">
        <v>235.73</v>
      </c>
      <c r="F107" s="1959">
        <v>239.48</v>
      </c>
      <c r="G107" s="1964"/>
      <c r="H107" s="1959"/>
      <c r="I107" s="1964"/>
      <c r="J107" s="1967"/>
      <c r="K107" s="1983"/>
      <c r="L107" s="1964"/>
      <c r="M107" s="1964"/>
      <c r="N107" s="1985"/>
      <c r="O107" s="1985"/>
      <c r="P107" s="1985"/>
      <c r="Q107" s="1324"/>
      <c r="R107" s="1324"/>
      <c r="S107" s="1324"/>
      <c r="T107" s="1324"/>
      <c r="U107" s="1324"/>
      <c r="V107" s="1324"/>
      <c r="W107" s="1325"/>
      <c r="X107" s="1326">
        <v>103</v>
      </c>
      <c r="Y107" s="1982"/>
      <c r="Z107" s="1964"/>
      <c r="AA107" s="1959">
        <v>139.63999999999999</v>
      </c>
      <c r="AB107" s="1964">
        <v>142.28</v>
      </c>
      <c r="AC107" s="1967">
        <v>144.93</v>
      </c>
      <c r="AD107" s="1959">
        <v>147.58000000000001</v>
      </c>
      <c r="AE107" s="1964"/>
      <c r="AF107" s="1959"/>
      <c r="AG107" s="1964"/>
      <c r="AH107" s="1967"/>
      <c r="AI107" s="1983"/>
      <c r="AJ107" s="1984"/>
      <c r="AK107" s="1985"/>
      <c r="AL107" s="1985"/>
      <c r="AM107" s="1985"/>
      <c r="AN107" s="1324"/>
      <c r="AO107" s="1324"/>
      <c r="AP107" s="1324"/>
      <c r="AQ107" s="1324"/>
      <c r="AR107" s="1324"/>
      <c r="AS107" s="1324"/>
      <c r="AT107" s="1324"/>
      <c r="AU107" s="1325"/>
      <c r="AV107" s="1327"/>
    </row>
    <row r="108" spans="1:48">
      <c r="A108" s="1942"/>
      <c r="B108" s="1952"/>
      <c r="C108" s="1959">
        <v>230.35</v>
      </c>
      <c r="D108" s="1964">
        <v>234.14</v>
      </c>
      <c r="E108" s="1967">
        <v>237.93</v>
      </c>
      <c r="F108" s="1959">
        <v>241.71</v>
      </c>
      <c r="G108" s="1964"/>
      <c r="H108" s="1959"/>
      <c r="I108" s="1964"/>
      <c r="J108" s="1967"/>
      <c r="K108" s="1983"/>
      <c r="L108" s="1964"/>
      <c r="M108" s="1964"/>
      <c r="N108" s="1985"/>
      <c r="O108" s="1985"/>
      <c r="P108" s="1985"/>
      <c r="Q108" s="1324"/>
      <c r="R108" s="1324"/>
      <c r="S108" s="1324"/>
      <c r="T108" s="1324"/>
      <c r="U108" s="1324"/>
      <c r="V108" s="1324"/>
      <c r="W108" s="1325"/>
      <c r="X108" s="1326">
        <v>104</v>
      </c>
      <c r="Y108" s="1982"/>
      <c r="Z108" s="1964"/>
      <c r="AA108" s="1959">
        <v>140.97</v>
      </c>
      <c r="AB108" s="1964">
        <v>143.63999999999999</v>
      </c>
      <c r="AC108" s="1967">
        <v>146.32</v>
      </c>
      <c r="AD108" s="1959">
        <v>148.99</v>
      </c>
      <c r="AE108" s="1964"/>
      <c r="AF108" s="1959"/>
      <c r="AG108" s="1964"/>
      <c r="AH108" s="1967"/>
      <c r="AI108" s="1983"/>
      <c r="AJ108" s="1984"/>
      <c r="AK108" s="1985"/>
      <c r="AL108" s="1985"/>
      <c r="AM108" s="1985"/>
      <c r="AN108" s="1324"/>
      <c r="AO108" s="1324"/>
      <c r="AP108" s="1324"/>
      <c r="AQ108" s="1324"/>
      <c r="AR108" s="1324"/>
      <c r="AS108" s="1324"/>
      <c r="AT108" s="1324"/>
      <c r="AU108" s="1325"/>
      <c r="AV108" s="1327"/>
    </row>
    <row r="109" spans="1:48">
      <c r="A109" s="1941"/>
      <c r="B109" s="1954"/>
      <c r="C109" s="1959">
        <v>232.67</v>
      </c>
      <c r="D109" s="1964">
        <v>236.5</v>
      </c>
      <c r="E109" s="1967">
        <v>240.32</v>
      </c>
      <c r="F109" s="1959">
        <v>244.14</v>
      </c>
      <c r="G109" s="1964"/>
      <c r="H109" s="1959"/>
      <c r="I109" s="1964"/>
      <c r="J109" s="1967"/>
      <c r="K109" s="1983"/>
      <c r="L109" s="1964"/>
      <c r="M109" s="1964"/>
      <c r="N109" s="1985"/>
      <c r="O109" s="1985"/>
      <c r="P109" s="1985"/>
      <c r="Q109" s="1324"/>
      <c r="R109" s="1324"/>
      <c r="S109" s="1324"/>
      <c r="T109" s="1324"/>
      <c r="U109" s="1324"/>
      <c r="V109" s="1324"/>
      <c r="W109" s="1325"/>
      <c r="X109" s="1326">
        <v>105</v>
      </c>
      <c r="Y109" s="1982"/>
      <c r="Z109" s="1964"/>
      <c r="AA109" s="1959">
        <v>142.36000000000001</v>
      </c>
      <c r="AB109" s="1964">
        <v>145.06</v>
      </c>
      <c r="AC109" s="1967">
        <v>147.76</v>
      </c>
      <c r="AD109" s="1959">
        <v>150.44999999999999</v>
      </c>
      <c r="AE109" s="1964"/>
      <c r="AF109" s="1959"/>
      <c r="AG109" s="1964"/>
      <c r="AH109" s="1967"/>
      <c r="AI109" s="1983"/>
      <c r="AJ109" s="1984"/>
      <c r="AK109" s="1985"/>
      <c r="AL109" s="1985"/>
      <c r="AM109" s="1985"/>
      <c r="AN109" s="1324"/>
      <c r="AO109" s="1324"/>
      <c r="AP109" s="1324"/>
      <c r="AQ109" s="1324"/>
      <c r="AR109" s="1324"/>
      <c r="AS109" s="1324"/>
      <c r="AT109" s="1324"/>
      <c r="AU109" s="1325"/>
      <c r="AV109" s="1327"/>
    </row>
    <row r="110" spans="1:48">
      <c r="A110" s="1941"/>
      <c r="B110" s="1954"/>
      <c r="C110" s="1959">
        <v>234.81</v>
      </c>
      <c r="D110" s="1964">
        <v>238.67</v>
      </c>
      <c r="E110" s="1967">
        <v>242.53</v>
      </c>
      <c r="F110" s="1959">
        <v>264.39</v>
      </c>
      <c r="G110" s="1964"/>
      <c r="H110" s="1959"/>
      <c r="I110" s="1964"/>
      <c r="J110" s="1967"/>
      <c r="K110" s="1983"/>
      <c r="L110" s="1964"/>
      <c r="M110" s="1964"/>
      <c r="N110" s="1985"/>
      <c r="O110" s="1985"/>
      <c r="P110" s="1985"/>
      <c r="Q110" s="1324"/>
      <c r="R110" s="1324"/>
      <c r="S110" s="1324"/>
      <c r="T110" s="1324"/>
      <c r="U110" s="1324"/>
      <c r="V110" s="1324"/>
      <c r="W110" s="1325"/>
      <c r="X110" s="1326">
        <v>106</v>
      </c>
      <c r="Y110" s="1982"/>
      <c r="Z110" s="1964"/>
      <c r="AA110" s="1959">
        <v>143.69999999999999</v>
      </c>
      <c r="AB110" s="1964">
        <v>146.41999999999999</v>
      </c>
      <c r="AC110" s="1967">
        <v>149.13999999999999</v>
      </c>
      <c r="AD110" s="1959">
        <v>151.87</v>
      </c>
      <c r="AE110" s="1964"/>
      <c r="AF110" s="1959"/>
      <c r="AG110" s="1964"/>
      <c r="AH110" s="1967"/>
      <c r="AI110" s="1983"/>
      <c r="AJ110" s="1984"/>
      <c r="AK110" s="1985"/>
      <c r="AL110" s="1985"/>
      <c r="AM110" s="1985"/>
      <c r="AN110" s="1324"/>
      <c r="AO110" s="1324"/>
      <c r="AP110" s="1324"/>
      <c r="AQ110" s="1324"/>
      <c r="AR110" s="1324"/>
      <c r="AS110" s="1324"/>
      <c r="AT110" s="1324"/>
      <c r="AU110" s="1325"/>
      <c r="AV110" s="1327"/>
    </row>
    <row r="111" spans="1:48">
      <c r="A111" s="1942"/>
      <c r="B111" s="1955"/>
      <c r="C111" s="1959">
        <v>236.96</v>
      </c>
      <c r="D111" s="1964">
        <v>240.85</v>
      </c>
      <c r="E111" s="1967">
        <v>244.75</v>
      </c>
      <c r="F111" s="1959">
        <v>248.64</v>
      </c>
      <c r="G111" s="1964"/>
      <c r="H111" s="1959"/>
      <c r="I111" s="1964"/>
      <c r="J111" s="1967"/>
      <c r="K111" s="1983"/>
      <c r="L111" s="1964"/>
      <c r="M111" s="1964"/>
      <c r="N111" s="1985"/>
      <c r="O111" s="1985"/>
      <c r="P111" s="1985"/>
      <c r="Q111" s="1324"/>
      <c r="R111" s="1324"/>
      <c r="S111" s="1324"/>
      <c r="T111" s="1324"/>
      <c r="U111" s="1324"/>
      <c r="V111" s="1324"/>
      <c r="W111" s="1325"/>
      <c r="X111" s="1326">
        <v>107</v>
      </c>
      <c r="Y111" s="1982"/>
      <c r="Z111" s="1964"/>
      <c r="AA111" s="1959">
        <v>145.04</v>
      </c>
      <c r="AB111" s="1964">
        <v>147.79</v>
      </c>
      <c r="AC111" s="1967">
        <v>150.54</v>
      </c>
      <c r="AD111" s="1959">
        <v>153.29</v>
      </c>
      <c r="AE111" s="1964"/>
      <c r="AF111" s="1959"/>
      <c r="AG111" s="1964"/>
      <c r="AH111" s="1967"/>
      <c r="AI111" s="1983"/>
      <c r="AJ111" s="1986"/>
      <c r="AK111" s="1985"/>
      <c r="AL111" s="1985"/>
      <c r="AM111" s="1985"/>
      <c r="AN111" s="1324"/>
      <c r="AO111" s="1324"/>
      <c r="AP111" s="1324"/>
      <c r="AQ111" s="1324"/>
      <c r="AR111" s="1324"/>
      <c r="AS111" s="1324"/>
      <c r="AT111" s="1324"/>
      <c r="AU111" s="1325"/>
      <c r="AV111" s="1327"/>
    </row>
    <row r="112" spans="1:48">
      <c r="A112" s="1941"/>
      <c r="B112" s="1953"/>
      <c r="C112" s="1959">
        <v>239.11</v>
      </c>
      <c r="D112" s="1964">
        <v>243.04</v>
      </c>
      <c r="E112" s="1967">
        <v>246.97</v>
      </c>
      <c r="F112" s="1959">
        <v>250.91</v>
      </c>
      <c r="G112" s="1964"/>
      <c r="H112" s="1959"/>
      <c r="I112" s="1964"/>
      <c r="J112" s="1967"/>
      <c r="K112" s="1983"/>
      <c r="L112" s="1964"/>
      <c r="M112" s="1964"/>
      <c r="N112" s="1985"/>
      <c r="O112" s="1985"/>
      <c r="P112" s="1985"/>
      <c r="Q112" s="1324"/>
      <c r="R112" s="1324"/>
      <c r="S112" s="1324"/>
      <c r="T112" s="1324"/>
      <c r="U112" s="1324"/>
      <c r="V112" s="1324"/>
      <c r="W112" s="1325"/>
      <c r="X112" s="1326">
        <v>108</v>
      </c>
      <c r="Y112" s="1982"/>
      <c r="Z112" s="1964"/>
      <c r="AA112" s="1959">
        <v>146.38</v>
      </c>
      <c r="AB112" s="1964">
        <v>149.15</v>
      </c>
      <c r="AC112" s="1967">
        <v>151.93</v>
      </c>
      <c r="AD112" s="1959">
        <v>14.7</v>
      </c>
      <c r="AE112" s="1964"/>
      <c r="AF112" s="1959"/>
      <c r="AG112" s="1964"/>
      <c r="AH112" s="1967"/>
      <c r="AI112" s="1983"/>
      <c r="AJ112" s="1984"/>
      <c r="AK112" s="1985"/>
      <c r="AL112" s="1985"/>
      <c r="AM112" s="1985"/>
      <c r="AN112" s="1324"/>
      <c r="AO112" s="1324"/>
      <c r="AP112" s="1324"/>
      <c r="AQ112" s="1324"/>
      <c r="AR112" s="1324"/>
      <c r="AS112" s="1324"/>
      <c r="AT112" s="1324"/>
      <c r="AU112" s="1325"/>
      <c r="AV112" s="1327"/>
    </row>
    <row r="113" spans="1:48">
      <c r="A113" s="1942"/>
      <c r="B113" s="1955"/>
      <c r="C113" s="1959">
        <v>241.47</v>
      </c>
      <c r="D113" s="1964">
        <v>245.44</v>
      </c>
      <c r="E113" s="1967">
        <v>249.41</v>
      </c>
      <c r="F113" s="1959">
        <v>253.37</v>
      </c>
      <c r="G113" s="1964"/>
      <c r="H113" s="1959"/>
      <c r="I113" s="1964"/>
      <c r="J113" s="1967"/>
      <c r="K113" s="1983"/>
      <c r="L113" s="1964"/>
      <c r="M113" s="1964"/>
      <c r="N113" s="1985"/>
      <c r="O113" s="1985"/>
      <c r="P113" s="1985"/>
      <c r="Q113" s="1324"/>
      <c r="R113" s="1324"/>
      <c r="S113" s="1324"/>
      <c r="T113" s="1324"/>
      <c r="U113" s="1324"/>
      <c r="V113" s="1324"/>
      <c r="W113" s="1325"/>
      <c r="X113" s="1326">
        <v>109</v>
      </c>
      <c r="Y113" s="1982"/>
      <c r="Z113" s="1964"/>
      <c r="AA113" s="1959">
        <v>147.72</v>
      </c>
      <c r="AB113" s="1964">
        <v>150.52000000000001</v>
      </c>
      <c r="AC113" s="1967">
        <v>153.32</v>
      </c>
      <c r="AD113" s="1959">
        <v>156.13</v>
      </c>
      <c r="AE113" s="1964"/>
      <c r="AF113" s="1959"/>
      <c r="AG113" s="1964"/>
      <c r="AH113" s="1967"/>
      <c r="AI113" s="1983"/>
      <c r="AJ113" s="1984"/>
      <c r="AK113" s="1985"/>
      <c r="AL113" s="1985"/>
      <c r="AM113" s="1985"/>
      <c r="AN113" s="1324"/>
      <c r="AO113" s="1324"/>
      <c r="AP113" s="1324"/>
      <c r="AQ113" s="1324"/>
      <c r="AR113" s="1324"/>
      <c r="AS113" s="1324"/>
      <c r="AT113" s="1324"/>
      <c r="AU113" s="1325"/>
      <c r="AV113" s="1327"/>
    </row>
    <row r="114" spans="1:48">
      <c r="A114" s="1941"/>
      <c r="B114" s="1953"/>
      <c r="C114" s="1959">
        <v>243.64</v>
      </c>
      <c r="D114" s="1964">
        <v>247.64</v>
      </c>
      <c r="E114" s="1967">
        <v>251.65</v>
      </c>
      <c r="F114" s="1959">
        <v>255.65</v>
      </c>
      <c r="G114" s="1964"/>
      <c r="H114" s="1959"/>
      <c r="I114" s="1964"/>
      <c r="J114" s="1967"/>
      <c r="K114" s="1983"/>
      <c r="L114" s="1964"/>
      <c r="M114" s="1964"/>
      <c r="N114" s="1985"/>
      <c r="O114" s="1985"/>
      <c r="P114" s="1985"/>
      <c r="Q114" s="1324"/>
      <c r="R114" s="1324"/>
      <c r="S114" s="1324"/>
      <c r="T114" s="1324"/>
      <c r="U114" s="1324"/>
      <c r="V114" s="1324"/>
      <c r="W114" s="1325"/>
      <c r="X114" s="1326">
        <v>110</v>
      </c>
      <c r="Y114" s="1982"/>
      <c r="Z114" s="1964"/>
      <c r="AA114" s="1959">
        <v>149.07</v>
      </c>
      <c r="AB114" s="1964">
        <v>151.88999999999999</v>
      </c>
      <c r="AC114" s="1967">
        <v>154.72</v>
      </c>
      <c r="AD114" s="1959">
        <v>157.55000000000001</v>
      </c>
      <c r="AE114" s="1964"/>
      <c r="AF114" s="1959"/>
      <c r="AG114" s="1964"/>
      <c r="AH114" s="1967"/>
      <c r="AI114" s="1983"/>
      <c r="AJ114" s="1984"/>
      <c r="AK114" s="1985"/>
      <c r="AL114" s="1985"/>
      <c r="AM114" s="1985"/>
      <c r="AN114" s="1324"/>
      <c r="AO114" s="1324"/>
      <c r="AP114" s="1324"/>
      <c r="AQ114" s="1324"/>
      <c r="AR114" s="1324"/>
      <c r="AS114" s="1324"/>
      <c r="AT114" s="1324"/>
      <c r="AU114" s="1325"/>
      <c r="AV114" s="1327"/>
    </row>
    <row r="115" spans="1:48">
      <c r="A115" s="1941"/>
      <c r="B115" s="1955"/>
      <c r="C115" s="1959">
        <v>245.82</v>
      </c>
      <c r="D115" s="1964">
        <v>249.86</v>
      </c>
      <c r="E115" s="1967">
        <v>253.9</v>
      </c>
      <c r="F115" s="1959">
        <v>257.94</v>
      </c>
      <c r="G115" s="1964"/>
      <c r="H115" s="1959"/>
      <c r="I115" s="1964"/>
      <c r="J115" s="1967"/>
      <c r="K115" s="1983"/>
      <c r="L115" s="1964"/>
      <c r="M115" s="1964"/>
      <c r="N115" s="1985"/>
      <c r="O115" s="1985"/>
      <c r="P115" s="1985"/>
      <c r="Q115" s="1324"/>
      <c r="R115" s="1324"/>
      <c r="S115" s="1324"/>
      <c r="T115" s="1324"/>
      <c r="U115" s="1324"/>
      <c r="V115" s="1324"/>
      <c r="W115" s="1325"/>
      <c r="X115" s="1326">
        <v>111</v>
      </c>
      <c r="Y115" s="1982"/>
      <c r="Z115" s="1964"/>
      <c r="AA115" s="1959">
        <v>150.41</v>
      </c>
      <c r="AB115" s="1964">
        <v>153.27000000000001</v>
      </c>
      <c r="AC115" s="1967">
        <v>156.12</v>
      </c>
      <c r="AD115" s="1959">
        <v>158.97</v>
      </c>
      <c r="AE115" s="1964"/>
      <c r="AF115" s="1959"/>
      <c r="AG115" s="1964"/>
      <c r="AH115" s="1967"/>
      <c r="AI115" s="1983"/>
      <c r="AJ115" s="1984"/>
      <c r="AK115" s="1985"/>
      <c r="AL115" s="1985"/>
      <c r="AM115" s="1985"/>
      <c r="AN115" s="1324"/>
      <c r="AO115" s="1324"/>
      <c r="AP115" s="1324"/>
      <c r="AQ115" s="1324"/>
      <c r="AR115" s="1324"/>
      <c r="AS115" s="1324"/>
      <c r="AT115" s="1324"/>
      <c r="AU115" s="1325"/>
      <c r="AV115" s="1327"/>
    </row>
    <row r="116" spans="1:48">
      <c r="A116" s="1941"/>
      <c r="B116" s="1953"/>
      <c r="C116" s="1959">
        <v>248</v>
      </c>
      <c r="D116" s="1964">
        <v>252.08</v>
      </c>
      <c r="E116" s="1967">
        <v>256.14999999999998</v>
      </c>
      <c r="F116" s="1959">
        <v>260.23</v>
      </c>
      <c r="G116" s="1964"/>
      <c r="H116" s="1959"/>
      <c r="I116" s="1964"/>
      <c r="J116" s="1967"/>
      <c r="K116" s="1983"/>
      <c r="L116" s="1964"/>
      <c r="M116" s="1964"/>
      <c r="N116" s="1985"/>
      <c r="O116" s="1985"/>
      <c r="P116" s="1985"/>
      <c r="Q116" s="1324"/>
      <c r="R116" s="1324"/>
      <c r="S116" s="1324"/>
      <c r="T116" s="1324"/>
      <c r="U116" s="1324"/>
      <c r="V116" s="1324"/>
      <c r="W116" s="1325"/>
      <c r="X116" s="1326">
        <v>112</v>
      </c>
      <c r="Y116" s="1982"/>
      <c r="Z116" s="1964"/>
      <c r="AA116" s="1959">
        <v>151.76</v>
      </c>
      <c r="AB116" s="1964">
        <v>154.63999999999999</v>
      </c>
      <c r="AC116" s="1967">
        <v>157.52000000000001</v>
      </c>
      <c r="AD116" s="1959">
        <v>160.4</v>
      </c>
      <c r="AE116" s="1959"/>
      <c r="AF116" s="1959"/>
      <c r="AG116" s="1964"/>
      <c r="AH116" s="1967"/>
      <c r="AI116" s="1983"/>
      <c r="AJ116" s="1984"/>
      <c r="AK116" s="1985"/>
      <c r="AL116" s="1985"/>
      <c r="AM116" s="1985"/>
      <c r="AN116" s="1324"/>
      <c r="AO116" s="1324"/>
      <c r="AP116" s="1324"/>
      <c r="AQ116" s="1324"/>
      <c r="AR116" s="1324"/>
      <c r="AS116" s="1324"/>
      <c r="AT116" s="1324"/>
      <c r="AU116" s="1325"/>
      <c r="AV116" s="1327"/>
    </row>
    <row r="117" spans="1:48">
      <c r="A117" s="1941"/>
      <c r="B117" s="1955"/>
      <c r="C117" s="1959">
        <v>250.19</v>
      </c>
      <c r="D117" s="1964">
        <v>254.3</v>
      </c>
      <c r="E117" s="1967">
        <v>258.41000000000003</v>
      </c>
      <c r="F117" s="1959">
        <v>262.52999999999997</v>
      </c>
      <c r="G117" s="1964"/>
      <c r="H117" s="1959"/>
      <c r="I117" s="1964"/>
      <c r="J117" s="1967"/>
      <c r="K117" s="1983"/>
      <c r="L117" s="1964"/>
      <c r="M117" s="1964"/>
      <c r="N117" s="1985"/>
      <c r="O117" s="1985"/>
      <c r="P117" s="1985"/>
      <c r="Q117" s="1324"/>
      <c r="R117" s="1324"/>
      <c r="S117" s="1324"/>
      <c r="T117" s="1324"/>
      <c r="U117" s="1324"/>
      <c r="V117" s="1324"/>
      <c r="W117" s="1325"/>
      <c r="X117" s="1326">
        <v>113</v>
      </c>
      <c r="Y117" s="1982"/>
      <c r="Z117" s="1964"/>
      <c r="AA117" s="1959">
        <v>153.11000000000001</v>
      </c>
      <c r="AB117" s="1964">
        <v>156.02000000000001</v>
      </c>
      <c r="AC117" s="1967">
        <v>158.91999999999999</v>
      </c>
      <c r="AD117" s="1959">
        <v>161.83000000000001</v>
      </c>
      <c r="AE117" s="1959"/>
      <c r="AF117" s="1959"/>
      <c r="AG117" s="1964"/>
      <c r="AH117" s="1967"/>
      <c r="AI117" s="1983"/>
      <c r="AJ117" s="1984"/>
      <c r="AK117" s="1985"/>
      <c r="AL117" s="1985"/>
      <c r="AM117" s="1985"/>
      <c r="AN117" s="1324"/>
      <c r="AO117" s="1324"/>
      <c r="AP117" s="1324"/>
      <c r="AQ117" s="1324"/>
      <c r="AR117" s="1324"/>
      <c r="AS117" s="1324"/>
      <c r="AT117" s="1324"/>
      <c r="AU117" s="1325"/>
      <c r="AV117" s="1327"/>
    </row>
    <row r="118" spans="1:48">
      <c r="A118" s="1941"/>
      <c r="B118" s="1953"/>
      <c r="C118" s="1959">
        <v>252.38</v>
      </c>
      <c r="D118" s="1964">
        <v>256.52999999999997</v>
      </c>
      <c r="E118" s="1967">
        <v>260.68</v>
      </c>
      <c r="F118" s="1959">
        <v>264.83</v>
      </c>
      <c r="G118" s="1964"/>
      <c r="H118" s="1959"/>
      <c r="I118" s="1964"/>
      <c r="J118" s="1967"/>
      <c r="K118" s="1983"/>
      <c r="L118" s="1964"/>
      <c r="M118" s="1964"/>
      <c r="N118" s="1985"/>
      <c r="O118" s="1985"/>
      <c r="P118" s="1985"/>
      <c r="Q118" s="1324"/>
      <c r="R118" s="1324"/>
      <c r="S118" s="1324"/>
      <c r="T118" s="1324"/>
      <c r="U118" s="1324"/>
      <c r="V118" s="1324"/>
      <c r="W118" s="1325"/>
      <c r="X118" s="1326">
        <v>114</v>
      </c>
      <c r="Y118" s="1982"/>
      <c r="Z118" s="1964"/>
      <c r="AA118" s="1959">
        <v>154.47</v>
      </c>
      <c r="AB118" s="1964">
        <v>157.4</v>
      </c>
      <c r="AC118" s="1967">
        <v>160.33000000000001</v>
      </c>
      <c r="AD118" s="1959">
        <v>163.26</v>
      </c>
      <c r="AE118" s="1959"/>
      <c r="AF118" s="1959"/>
      <c r="AG118" s="1964"/>
      <c r="AH118" s="1967"/>
      <c r="AI118" s="1983"/>
      <c r="AJ118" s="1984"/>
      <c r="AK118" s="1985"/>
      <c r="AL118" s="1985"/>
      <c r="AM118" s="1985"/>
      <c r="AN118" s="1324"/>
      <c r="AO118" s="1324"/>
      <c r="AP118" s="1324"/>
      <c r="AQ118" s="1324"/>
      <c r="AR118" s="1324"/>
      <c r="AS118" s="1324"/>
      <c r="AT118" s="1324"/>
      <c r="AU118" s="1325"/>
      <c r="AV118" s="1327"/>
    </row>
    <row r="119" spans="1:48">
      <c r="A119" s="1942"/>
      <c r="B119" s="1955"/>
      <c r="C119" s="1959">
        <v>254.59</v>
      </c>
      <c r="D119" s="1964">
        <v>258.77</v>
      </c>
      <c r="E119" s="1967">
        <v>262.95999999999998</v>
      </c>
      <c r="F119" s="1959">
        <v>267.14999999999998</v>
      </c>
      <c r="G119" s="1964"/>
      <c r="H119" s="1959"/>
      <c r="I119" s="1964"/>
      <c r="J119" s="1967"/>
      <c r="K119" s="1983"/>
      <c r="L119" s="1964"/>
      <c r="M119" s="1964"/>
      <c r="N119" s="1985"/>
      <c r="O119" s="1985"/>
      <c r="P119" s="1985"/>
      <c r="Q119" s="1324"/>
      <c r="R119" s="1324"/>
      <c r="S119" s="1324"/>
      <c r="T119" s="1324"/>
      <c r="U119" s="1324"/>
      <c r="V119" s="1324"/>
      <c r="W119" s="1325"/>
      <c r="X119" s="1326">
        <v>115</v>
      </c>
      <c r="Y119" s="1982"/>
      <c r="Z119" s="1964"/>
      <c r="AA119" s="1959">
        <v>155.82</v>
      </c>
      <c r="AB119" s="1964">
        <v>158.78</v>
      </c>
      <c r="AC119" s="1967">
        <v>161.72999999999999</v>
      </c>
      <c r="AD119" s="1959">
        <v>164.69</v>
      </c>
      <c r="AE119" s="1959"/>
      <c r="AF119" s="1959"/>
      <c r="AG119" s="1964"/>
      <c r="AH119" s="1967"/>
      <c r="AI119" s="1983"/>
      <c r="AJ119" s="1984"/>
      <c r="AK119" s="1985"/>
      <c r="AL119" s="1985"/>
      <c r="AM119" s="1985"/>
      <c r="AN119" s="1324"/>
      <c r="AO119" s="1324"/>
      <c r="AP119" s="1324"/>
      <c r="AQ119" s="1324"/>
      <c r="AR119" s="1324"/>
      <c r="AS119" s="1324"/>
      <c r="AT119" s="1324"/>
      <c r="AU119" s="1325"/>
      <c r="AV119" s="1327"/>
    </row>
    <row r="120" spans="1:48">
      <c r="A120" s="1941"/>
      <c r="B120" s="1955"/>
      <c r="C120" s="1959">
        <v>256.8</v>
      </c>
      <c r="D120" s="1964">
        <v>261.02</v>
      </c>
      <c r="E120" s="1967">
        <v>265.25</v>
      </c>
      <c r="F120" s="1959">
        <v>269.47000000000003</v>
      </c>
      <c r="G120" s="1964"/>
      <c r="H120" s="1959"/>
      <c r="I120" s="1964"/>
      <c r="J120" s="1967"/>
      <c r="K120" s="1983"/>
      <c r="L120" s="1964"/>
      <c r="M120" s="1964"/>
      <c r="N120" s="1985"/>
      <c r="O120" s="1985"/>
      <c r="P120" s="1985"/>
      <c r="Q120" s="1324"/>
      <c r="R120" s="1324"/>
      <c r="S120" s="1324"/>
      <c r="T120" s="1324"/>
      <c r="U120" s="1324"/>
      <c r="V120" s="1324"/>
      <c r="W120" s="1325"/>
      <c r="X120" s="1326">
        <v>116</v>
      </c>
      <c r="Y120" s="1982"/>
      <c r="Z120" s="1964"/>
      <c r="AA120" s="1959">
        <v>157.18</v>
      </c>
      <c r="AB120" s="1964">
        <v>160.16</v>
      </c>
      <c r="AC120" s="1967">
        <v>163.13999999999999</v>
      </c>
      <c r="AD120" s="1959">
        <v>166.12</v>
      </c>
      <c r="AE120" s="1959"/>
      <c r="AF120" s="1959"/>
      <c r="AG120" s="1964"/>
      <c r="AH120" s="1967"/>
      <c r="AI120" s="1983"/>
      <c r="AJ120" s="1984"/>
      <c r="AK120" s="1985"/>
      <c r="AL120" s="1985"/>
      <c r="AM120" s="1985"/>
      <c r="AN120" s="1324"/>
      <c r="AO120" s="1324"/>
      <c r="AP120" s="1324"/>
      <c r="AQ120" s="1324"/>
      <c r="AR120" s="1324"/>
      <c r="AS120" s="1324"/>
      <c r="AT120" s="1324"/>
      <c r="AU120" s="1325"/>
      <c r="AV120" s="1327"/>
    </row>
    <row r="121" spans="1:48">
      <c r="A121" s="1941"/>
      <c r="B121" s="1955"/>
      <c r="C121" s="1959">
        <v>259.02</v>
      </c>
      <c r="D121" s="1964">
        <v>265.27999999999997</v>
      </c>
      <c r="E121" s="1967">
        <v>267.54000000000002</v>
      </c>
      <c r="F121" s="1959">
        <v>271.8</v>
      </c>
      <c r="G121" s="1964"/>
      <c r="H121" s="1959"/>
      <c r="I121" s="1964"/>
      <c r="J121" s="1967"/>
      <c r="K121" s="1983"/>
      <c r="L121" s="1964"/>
      <c r="M121" s="1964"/>
      <c r="N121" s="1985"/>
      <c r="O121" s="1985"/>
      <c r="P121" s="1985"/>
      <c r="Q121" s="1324"/>
      <c r="R121" s="1324"/>
      <c r="S121" s="1324"/>
      <c r="T121" s="1324"/>
      <c r="U121" s="1324"/>
      <c r="V121" s="1324"/>
      <c r="W121" s="1325"/>
      <c r="X121" s="1326">
        <v>117</v>
      </c>
      <c r="Y121" s="1982"/>
      <c r="Z121" s="1964"/>
      <c r="AA121" s="1959">
        <v>158.54</v>
      </c>
      <c r="AB121" s="1964">
        <v>161.54</v>
      </c>
      <c r="AC121" s="1967">
        <v>164.55</v>
      </c>
      <c r="AD121" s="1959">
        <v>167.56</v>
      </c>
      <c r="AE121" s="1959"/>
      <c r="AF121" s="1959"/>
      <c r="AG121" s="1964"/>
      <c r="AH121" s="1967"/>
      <c r="AI121" s="1983"/>
      <c r="AJ121" s="1984"/>
      <c r="AK121" s="1985"/>
      <c r="AL121" s="1985"/>
      <c r="AM121" s="1985"/>
      <c r="AN121" s="1324"/>
      <c r="AO121" s="1324"/>
      <c r="AP121" s="1324"/>
      <c r="AQ121" s="1324"/>
      <c r="AR121" s="1324"/>
      <c r="AS121" s="1324"/>
      <c r="AT121" s="1324"/>
      <c r="AU121" s="1325"/>
      <c r="AV121" s="1327"/>
    </row>
    <row r="122" spans="1:48">
      <c r="A122" s="1941"/>
      <c r="B122" s="1955"/>
      <c r="C122" s="1959">
        <v>261.25</v>
      </c>
      <c r="D122" s="1964">
        <v>265.54000000000002</v>
      </c>
      <c r="E122" s="1967">
        <v>269.83999999999997</v>
      </c>
      <c r="F122" s="1959">
        <v>274.13</v>
      </c>
      <c r="G122" s="1964"/>
      <c r="H122" s="1959"/>
      <c r="I122" s="1964"/>
      <c r="J122" s="1967"/>
      <c r="K122" s="1983"/>
      <c r="L122" s="1964"/>
      <c r="M122" s="1964"/>
      <c r="N122" s="1985"/>
      <c r="O122" s="1985"/>
      <c r="P122" s="1985"/>
      <c r="Q122" s="1324"/>
      <c r="R122" s="1324"/>
      <c r="S122" s="1324"/>
      <c r="T122" s="1324"/>
      <c r="U122" s="1324"/>
      <c r="V122" s="1324"/>
      <c r="W122" s="1325"/>
      <c r="X122" s="1326">
        <v>118</v>
      </c>
      <c r="Y122" s="1982"/>
      <c r="Z122" s="1964"/>
      <c r="AA122" s="1959">
        <v>159.9</v>
      </c>
      <c r="AB122" s="1964">
        <v>162.91999999999999</v>
      </c>
      <c r="AC122" s="1967">
        <v>165.96</v>
      </c>
      <c r="AD122" s="1959">
        <v>169</v>
      </c>
      <c r="AE122" s="1959"/>
      <c r="AF122" s="1959"/>
      <c r="AG122" s="1964"/>
      <c r="AH122" s="1967"/>
      <c r="AI122" s="1983"/>
      <c r="AJ122" s="1986"/>
      <c r="AK122" s="1985"/>
      <c r="AL122" s="1985"/>
      <c r="AM122" s="1985"/>
      <c r="AN122" s="1324"/>
      <c r="AO122" s="1324"/>
      <c r="AP122" s="1324"/>
      <c r="AQ122" s="1324"/>
      <c r="AR122" s="1324"/>
      <c r="AS122" s="1324"/>
      <c r="AT122" s="1324"/>
      <c r="AU122" s="1325"/>
      <c r="AV122" s="1327"/>
    </row>
    <row r="123" spans="1:48">
      <c r="A123" s="1941"/>
      <c r="B123" s="1955"/>
      <c r="C123" s="1959">
        <v>263.48</v>
      </c>
      <c r="D123" s="1964">
        <v>267.8</v>
      </c>
      <c r="E123" s="1967">
        <v>272.14999999999998</v>
      </c>
      <c r="F123" s="1959">
        <v>276.48</v>
      </c>
      <c r="G123" s="1964"/>
      <c r="H123" s="1959"/>
      <c r="I123" s="1964"/>
      <c r="J123" s="1967"/>
      <c r="K123" s="1983"/>
      <c r="L123" s="1964"/>
      <c r="M123" s="1964"/>
      <c r="N123" s="1985"/>
      <c r="O123" s="1985"/>
      <c r="P123" s="1985"/>
      <c r="Q123" s="1324"/>
      <c r="R123" s="1324"/>
      <c r="S123" s="1324"/>
      <c r="T123" s="1324"/>
      <c r="U123" s="1324"/>
      <c r="V123" s="1324"/>
      <c r="W123" s="1325"/>
      <c r="X123" s="1326">
        <v>119</v>
      </c>
      <c r="Y123" s="1982"/>
      <c r="Z123" s="1964"/>
      <c r="AA123" s="1959">
        <v>161.24</v>
      </c>
      <c r="AB123" s="1964">
        <v>164.3</v>
      </c>
      <c r="AC123" s="1967">
        <v>167.37</v>
      </c>
      <c r="AD123" s="1959">
        <v>170.44</v>
      </c>
      <c r="AE123" s="1959"/>
      <c r="AF123" s="1959"/>
      <c r="AG123" s="1964"/>
      <c r="AH123" s="1967"/>
      <c r="AI123" s="1983"/>
      <c r="AJ123" s="1984"/>
      <c r="AK123" s="1985"/>
      <c r="AL123" s="1985"/>
      <c r="AM123" s="1985"/>
      <c r="AN123" s="1324"/>
      <c r="AO123" s="1324"/>
      <c r="AP123" s="1324"/>
      <c r="AQ123" s="1324"/>
      <c r="AR123" s="1324"/>
      <c r="AS123" s="1324"/>
      <c r="AT123" s="1324"/>
      <c r="AU123" s="1325"/>
      <c r="AV123" s="1327"/>
    </row>
    <row r="124" spans="1:48">
      <c r="A124" s="1941"/>
      <c r="B124" s="1949"/>
      <c r="C124" s="1959">
        <v>265.73</v>
      </c>
      <c r="D124" s="1964">
        <v>270.10000000000002</v>
      </c>
      <c r="E124" s="1967">
        <v>274.45999999999998</v>
      </c>
      <c r="F124" s="1959">
        <v>278.83</v>
      </c>
      <c r="G124" s="1964"/>
      <c r="H124" s="1959"/>
      <c r="I124" s="1964"/>
      <c r="J124" s="1967"/>
      <c r="K124" s="1983"/>
      <c r="L124" s="1964"/>
      <c r="M124" s="1964"/>
      <c r="N124" s="1985"/>
      <c r="O124" s="1985"/>
      <c r="P124" s="1985"/>
      <c r="Q124" s="1324"/>
      <c r="R124" s="1324"/>
      <c r="S124" s="1324"/>
      <c r="T124" s="1324"/>
      <c r="U124" s="1324"/>
      <c r="V124" s="1324"/>
      <c r="W124" s="1325"/>
      <c r="X124" s="1326">
        <v>120</v>
      </c>
      <c r="Y124" s="1982"/>
      <c r="Z124" s="1964"/>
      <c r="AA124" s="1959">
        <v>162.56</v>
      </c>
      <c r="AB124" s="1964">
        <v>165.68</v>
      </c>
      <c r="AC124" s="1967">
        <v>168.78</v>
      </c>
      <c r="AD124" s="1959">
        <v>171.82</v>
      </c>
      <c r="AE124" s="1959"/>
      <c r="AF124" s="1959"/>
      <c r="AG124" s="1964"/>
      <c r="AH124" s="1967"/>
      <c r="AI124" s="1983"/>
      <c r="AJ124" s="1984"/>
      <c r="AK124" s="1985"/>
      <c r="AL124" s="1985"/>
      <c r="AM124" s="1985"/>
      <c r="AN124" s="1324"/>
      <c r="AO124" s="1324"/>
      <c r="AP124" s="1324"/>
      <c r="AQ124" s="1324"/>
      <c r="AR124" s="1324"/>
      <c r="AS124" s="1324"/>
      <c r="AT124" s="1324"/>
      <c r="AU124" s="1325"/>
      <c r="AV124" s="1327"/>
    </row>
    <row r="125" spans="1:48">
      <c r="A125" s="1945"/>
      <c r="B125" s="1945"/>
      <c r="C125" s="1959">
        <v>267.74</v>
      </c>
      <c r="D125" s="1964">
        <v>272.14</v>
      </c>
      <c r="E125" s="1967">
        <v>276.54000000000002</v>
      </c>
      <c r="F125" s="1959">
        <v>280.95</v>
      </c>
      <c r="G125" s="1964"/>
      <c r="H125" s="1959"/>
      <c r="I125" s="1964"/>
      <c r="J125" s="1967"/>
      <c r="K125" s="1983"/>
      <c r="L125" s="1964"/>
      <c r="M125" s="1964"/>
      <c r="N125" s="1985"/>
      <c r="O125" s="1985"/>
      <c r="P125" s="1985"/>
      <c r="Q125" s="1324"/>
      <c r="R125" s="1324"/>
      <c r="S125" s="1324"/>
      <c r="T125" s="1324"/>
      <c r="U125" s="1324"/>
      <c r="V125" s="1324"/>
      <c r="W125" s="1325"/>
      <c r="X125" s="1326">
        <v>121</v>
      </c>
      <c r="Y125" s="1982"/>
      <c r="Z125" s="1964"/>
      <c r="AA125" s="1959">
        <v>163.93</v>
      </c>
      <c r="AB125" s="1964">
        <v>167.04</v>
      </c>
      <c r="AC125" s="1967">
        <v>170.15</v>
      </c>
      <c r="AD125" s="1959">
        <v>173.26</v>
      </c>
      <c r="AE125" s="1959"/>
      <c r="AF125" s="1959"/>
      <c r="AG125" s="1964"/>
      <c r="AH125" s="1967"/>
      <c r="AI125" s="1983"/>
      <c r="AJ125" s="1984"/>
      <c r="AK125" s="1985"/>
      <c r="AL125" s="1985"/>
      <c r="AM125" s="1985"/>
      <c r="AN125" s="1324"/>
      <c r="AO125" s="1324"/>
      <c r="AP125" s="1324"/>
      <c r="AQ125" s="1324"/>
      <c r="AR125" s="1324"/>
      <c r="AS125" s="1324"/>
      <c r="AT125" s="1324"/>
      <c r="AU125" s="1325"/>
      <c r="AV125" s="1327"/>
    </row>
    <row r="126" spans="1:48">
      <c r="A126" s="1945"/>
      <c r="B126" s="1945"/>
      <c r="C126" s="1959">
        <v>269.99</v>
      </c>
      <c r="D126" s="1964">
        <v>274.43</v>
      </c>
      <c r="E126" s="1967">
        <v>278.87</v>
      </c>
      <c r="F126" s="1959">
        <v>283.32</v>
      </c>
      <c r="G126" s="1964"/>
      <c r="H126" s="1959"/>
      <c r="I126" s="1964"/>
      <c r="J126" s="1967"/>
      <c r="K126" s="1983"/>
      <c r="L126" s="1964"/>
      <c r="M126" s="1964"/>
      <c r="N126" s="1985"/>
      <c r="O126" s="1985"/>
      <c r="P126" s="1985"/>
      <c r="Q126" s="1324"/>
      <c r="R126" s="1324"/>
      <c r="S126" s="1324"/>
      <c r="T126" s="1324"/>
      <c r="U126" s="1324"/>
      <c r="V126" s="1324"/>
      <c r="W126" s="1325"/>
      <c r="X126" s="1326">
        <v>122</v>
      </c>
      <c r="Y126" s="1982"/>
      <c r="Z126" s="1964"/>
      <c r="AA126" s="1959">
        <v>165.3</v>
      </c>
      <c r="AB126" s="1964">
        <v>168.44</v>
      </c>
      <c r="AC126" s="1967">
        <v>171.57</v>
      </c>
      <c r="AD126" s="1959">
        <v>174.71</v>
      </c>
      <c r="AE126" s="1959"/>
      <c r="AF126" s="1959"/>
      <c r="AG126" s="1964"/>
      <c r="AH126" s="1967"/>
      <c r="AI126" s="1983"/>
      <c r="AJ126" s="1984"/>
      <c r="AK126" s="1985"/>
      <c r="AL126" s="1985"/>
      <c r="AM126" s="1985"/>
      <c r="AN126" s="1324"/>
      <c r="AO126" s="1324"/>
      <c r="AP126" s="1324"/>
      <c r="AQ126" s="1324"/>
      <c r="AR126" s="1324"/>
      <c r="AS126" s="1324"/>
      <c r="AT126" s="1324"/>
      <c r="AU126" s="1325"/>
      <c r="AV126" s="1327"/>
    </row>
    <row r="127" spans="1:48">
      <c r="A127" s="1945"/>
      <c r="B127" s="1945"/>
      <c r="C127" s="1959">
        <v>272.26</v>
      </c>
      <c r="D127" s="1964">
        <v>276.74</v>
      </c>
      <c r="E127" s="1967">
        <v>281.20999999999998</v>
      </c>
      <c r="F127" s="1959">
        <v>285.69</v>
      </c>
      <c r="G127" s="1964"/>
      <c r="H127" s="1959"/>
      <c r="I127" s="1964"/>
      <c r="J127" s="1967"/>
      <c r="K127" s="1983"/>
      <c r="L127" s="1964"/>
      <c r="M127" s="1964"/>
      <c r="N127" s="1985"/>
      <c r="O127" s="1985"/>
      <c r="P127" s="1985"/>
      <c r="Q127" s="1324"/>
      <c r="R127" s="1324"/>
      <c r="S127" s="1324"/>
      <c r="T127" s="1324"/>
      <c r="U127" s="1324"/>
      <c r="V127" s="1324"/>
      <c r="W127" s="1325"/>
      <c r="X127" s="1326">
        <v>123</v>
      </c>
      <c r="Y127" s="1982"/>
      <c r="Z127" s="1964"/>
      <c r="AA127" s="1959">
        <v>166.6</v>
      </c>
      <c r="AB127" s="1964">
        <v>169.77</v>
      </c>
      <c r="AC127" s="1967">
        <v>172.93</v>
      </c>
      <c r="AD127" s="1959">
        <v>176.09</v>
      </c>
      <c r="AE127" s="1959"/>
      <c r="AF127" s="1959"/>
      <c r="AG127" s="1964"/>
      <c r="AH127" s="1967"/>
      <c r="AI127" s="1983"/>
      <c r="AJ127" s="1984"/>
      <c r="AK127" s="1985"/>
      <c r="AL127" s="1985"/>
      <c r="AM127" s="1985"/>
      <c r="AN127" s="1324"/>
      <c r="AO127" s="1324"/>
      <c r="AP127" s="1324"/>
      <c r="AQ127" s="1324"/>
      <c r="AR127" s="1324"/>
      <c r="AS127" s="1324"/>
      <c r="AT127" s="1324"/>
      <c r="AU127" s="1325"/>
      <c r="AV127" s="1327"/>
    </row>
    <row r="128" spans="1:48">
      <c r="A128" s="1945"/>
      <c r="B128" s="1945"/>
      <c r="C128" s="1959">
        <v>274.54000000000002</v>
      </c>
      <c r="D128" s="1964">
        <v>279.05</v>
      </c>
      <c r="E128" s="1967">
        <v>283.56</v>
      </c>
      <c r="F128" s="1959">
        <v>288.08</v>
      </c>
      <c r="G128" s="1964"/>
      <c r="H128" s="1959"/>
      <c r="I128" s="1964"/>
      <c r="J128" s="1967"/>
      <c r="K128" s="1983"/>
      <c r="L128" s="1964"/>
      <c r="M128" s="1964"/>
      <c r="N128" s="1985"/>
      <c r="O128" s="1985"/>
      <c r="P128" s="1985"/>
      <c r="Q128" s="1324"/>
      <c r="R128" s="1324"/>
      <c r="S128" s="1324"/>
      <c r="T128" s="1324"/>
      <c r="U128" s="1324"/>
      <c r="V128" s="1324"/>
      <c r="W128" s="1325"/>
      <c r="X128" s="1326">
        <v>124</v>
      </c>
      <c r="Y128" s="1982"/>
      <c r="Z128" s="1964"/>
      <c r="AA128" s="1959">
        <v>167.98</v>
      </c>
      <c r="AB128" s="1964">
        <v>171.17</v>
      </c>
      <c r="AC128" s="1967">
        <v>174.35</v>
      </c>
      <c r="AD128" s="1959">
        <v>177.54</v>
      </c>
      <c r="AE128" s="1959"/>
      <c r="AF128" s="1959"/>
      <c r="AG128" s="1964"/>
      <c r="AH128" s="1967"/>
      <c r="AI128" s="1983"/>
      <c r="AJ128" s="1984"/>
      <c r="AK128" s="1985"/>
      <c r="AL128" s="1985"/>
      <c r="AM128" s="1985"/>
      <c r="AN128" s="1324"/>
      <c r="AO128" s="1324"/>
      <c r="AP128" s="1324"/>
      <c r="AQ128" s="1324"/>
      <c r="AR128" s="1324"/>
      <c r="AS128" s="1324"/>
      <c r="AT128" s="1324"/>
      <c r="AU128" s="1325"/>
      <c r="AV128" s="1327"/>
    </row>
    <row r="129" spans="1:48">
      <c r="A129" s="1945"/>
      <c r="B129" s="1945"/>
      <c r="C129" s="1959">
        <v>276.56</v>
      </c>
      <c r="D129" s="1964">
        <v>281.11</v>
      </c>
      <c r="E129" s="1967">
        <v>285.66000000000003</v>
      </c>
      <c r="F129" s="1959">
        <v>290.20999999999998</v>
      </c>
      <c r="G129" s="1964"/>
      <c r="H129" s="1959"/>
      <c r="I129" s="1964"/>
      <c r="J129" s="1967"/>
      <c r="K129" s="1983"/>
      <c r="L129" s="1964"/>
      <c r="M129" s="1964"/>
      <c r="N129" s="1985"/>
      <c r="O129" s="1985"/>
      <c r="P129" s="1985"/>
      <c r="Q129" s="1324"/>
      <c r="R129" s="1324"/>
      <c r="S129" s="1324"/>
      <c r="T129" s="1324"/>
      <c r="U129" s="1324"/>
      <c r="V129" s="1324"/>
      <c r="W129" s="1325"/>
      <c r="X129" s="1326">
        <v>125</v>
      </c>
      <c r="Y129" s="1982"/>
      <c r="Z129" s="1964"/>
      <c r="AA129" s="1959">
        <v>169.35</v>
      </c>
      <c r="AB129" s="1964">
        <v>172.57</v>
      </c>
      <c r="AC129" s="1967">
        <v>175.78</v>
      </c>
      <c r="AD129" s="1959">
        <v>178.99</v>
      </c>
      <c r="AE129" s="1959"/>
      <c r="AF129" s="1959"/>
      <c r="AG129" s="1964"/>
      <c r="AH129" s="1967"/>
      <c r="AI129" s="1983"/>
      <c r="AJ129" s="1984"/>
      <c r="AK129" s="1985"/>
      <c r="AL129" s="1985"/>
      <c r="AM129" s="1985"/>
      <c r="AN129" s="1324"/>
      <c r="AO129" s="1324"/>
      <c r="AP129" s="1324"/>
      <c r="AQ129" s="1324"/>
      <c r="AR129" s="1324"/>
      <c r="AS129" s="1324"/>
      <c r="AT129" s="1324"/>
      <c r="AU129" s="1325"/>
      <c r="AV129" s="1327"/>
    </row>
    <row r="130" spans="1:48">
      <c r="A130" s="1945"/>
      <c r="B130" s="1945"/>
      <c r="C130" s="1959">
        <v>278.85000000000002</v>
      </c>
      <c r="D130" s="1964">
        <v>283.44</v>
      </c>
      <c r="E130" s="1967">
        <v>288.02</v>
      </c>
      <c r="F130" s="1959">
        <v>292.61</v>
      </c>
      <c r="G130" s="1964"/>
      <c r="H130" s="1959"/>
      <c r="I130" s="1964"/>
      <c r="J130" s="1967"/>
      <c r="K130" s="1983"/>
      <c r="L130" s="1964"/>
      <c r="M130" s="1964"/>
      <c r="N130" s="1985"/>
      <c r="O130" s="1985"/>
      <c r="P130" s="1985"/>
      <c r="Q130" s="1324"/>
      <c r="R130" s="1324"/>
      <c r="S130" s="1324"/>
      <c r="T130" s="1324"/>
      <c r="U130" s="1324"/>
      <c r="V130" s="1324"/>
      <c r="W130" s="1325"/>
      <c r="X130" s="1326">
        <v>126</v>
      </c>
      <c r="Y130" s="1982"/>
      <c r="Z130" s="1964"/>
      <c r="AA130" s="1959">
        <v>170.66</v>
      </c>
      <c r="AB130" s="1964">
        <v>173.9</v>
      </c>
      <c r="AC130" s="1967">
        <v>177.14</v>
      </c>
      <c r="AD130" s="1959">
        <v>180.38</v>
      </c>
      <c r="AE130" s="1959"/>
      <c r="AF130" s="1959"/>
      <c r="AG130" s="1964"/>
      <c r="AH130" s="1967"/>
      <c r="AI130" s="1983"/>
      <c r="AJ130" s="1984"/>
      <c r="AK130" s="1985"/>
      <c r="AL130" s="1985"/>
      <c r="AM130" s="1985"/>
      <c r="AN130" s="1324"/>
      <c r="AO130" s="1324"/>
      <c r="AP130" s="1324"/>
      <c r="AQ130" s="1324"/>
      <c r="AR130" s="1324"/>
      <c r="AS130" s="1324"/>
      <c r="AT130" s="1324"/>
      <c r="AU130" s="1325"/>
      <c r="AV130" s="1327"/>
    </row>
    <row r="131" spans="1:48">
      <c r="A131" s="1945"/>
      <c r="B131" s="1945"/>
      <c r="C131" s="1959">
        <v>281.14999999999998</v>
      </c>
      <c r="D131" s="1964">
        <v>285.77</v>
      </c>
      <c r="E131" s="1967">
        <v>290.39999999999998</v>
      </c>
      <c r="F131" s="1959">
        <v>295.02</v>
      </c>
      <c r="G131" s="1964"/>
      <c r="H131" s="1959"/>
      <c r="I131" s="1964"/>
      <c r="J131" s="1967"/>
      <c r="K131" s="1983"/>
      <c r="L131" s="1964"/>
      <c r="M131" s="1964"/>
      <c r="N131" s="1985"/>
      <c r="O131" s="1985"/>
      <c r="P131" s="1985"/>
      <c r="Q131" s="1324"/>
      <c r="R131" s="1324"/>
      <c r="S131" s="1324"/>
      <c r="T131" s="1324"/>
      <c r="U131" s="1324"/>
      <c r="V131" s="1324"/>
      <c r="W131" s="1325"/>
      <c r="X131" s="1326">
        <v>127</v>
      </c>
      <c r="Y131" s="1982"/>
      <c r="Z131" s="1964"/>
      <c r="AA131" s="1959">
        <v>172.04</v>
      </c>
      <c r="AB131" s="1964">
        <v>175.31</v>
      </c>
      <c r="AC131" s="1967">
        <v>178.57</v>
      </c>
      <c r="AD131" s="1959">
        <v>181.83</v>
      </c>
      <c r="AE131" s="1959"/>
      <c r="AF131" s="1959"/>
      <c r="AG131" s="1964"/>
      <c r="AH131" s="1967"/>
      <c r="AI131" s="1983"/>
      <c r="AJ131" s="1984"/>
      <c r="AK131" s="1985"/>
      <c r="AL131" s="1985"/>
      <c r="AM131" s="1985"/>
      <c r="AN131" s="1324"/>
      <c r="AO131" s="1324"/>
      <c r="AP131" s="1324"/>
      <c r="AQ131" s="1324"/>
      <c r="AR131" s="1324"/>
      <c r="AS131" s="1324"/>
      <c r="AT131" s="1324"/>
      <c r="AU131" s="1325"/>
      <c r="AV131" s="1327"/>
    </row>
    <row r="132" spans="1:48">
      <c r="A132" s="1945"/>
      <c r="B132" s="1945"/>
      <c r="C132" s="1959">
        <v>283.19</v>
      </c>
      <c r="D132" s="1964">
        <v>287.83999999999997</v>
      </c>
      <c r="E132" s="1967">
        <v>292.5</v>
      </c>
      <c r="F132" s="1959">
        <v>257.16000000000003</v>
      </c>
      <c r="G132" s="1964"/>
      <c r="H132" s="1959"/>
      <c r="I132" s="1964"/>
      <c r="J132" s="1967"/>
      <c r="K132" s="1983"/>
      <c r="L132" s="1964"/>
      <c r="M132" s="1964"/>
      <c r="N132" s="1985"/>
      <c r="O132" s="1985"/>
      <c r="P132" s="1985"/>
      <c r="Q132" s="1324"/>
      <c r="R132" s="1324"/>
      <c r="S132" s="1324"/>
      <c r="T132" s="1324"/>
      <c r="U132" s="1324"/>
      <c r="V132" s="1324"/>
      <c r="W132" s="1325"/>
      <c r="X132" s="1326">
        <v>128</v>
      </c>
      <c r="Y132" s="1982"/>
      <c r="Z132" s="1964"/>
      <c r="AA132" s="1959">
        <v>173.42</v>
      </c>
      <c r="AB132" s="1964">
        <v>176.71</v>
      </c>
      <c r="AC132" s="1967">
        <v>180</v>
      </c>
      <c r="AD132" s="1959">
        <v>183.29</v>
      </c>
      <c r="AE132" s="1959"/>
      <c r="AF132" s="1959"/>
      <c r="AG132" s="1964"/>
      <c r="AH132" s="1967"/>
      <c r="AI132" s="1983"/>
      <c r="AJ132" s="1984"/>
      <c r="AK132" s="1985"/>
      <c r="AL132" s="1985"/>
      <c r="AM132" s="1985"/>
      <c r="AN132" s="1324"/>
      <c r="AO132" s="1324"/>
      <c r="AP132" s="1324"/>
      <c r="AQ132" s="1324"/>
      <c r="AR132" s="1324"/>
      <c r="AS132" s="1324"/>
      <c r="AT132" s="1324"/>
      <c r="AU132" s="1325"/>
      <c r="AV132" s="1327"/>
    </row>
    <row r="133" spans="1:48">
      <c r="A133" s="1945"/>
      <c r="B133" s="1945"/>
      <c r="C133" s="1959">
        <v>285.5</v>
      </c>
      <c r="D133" s="1964">
        <v>290.2</v>
      </c>
      <c r="E133" s="1967">
        <v>294.89</v>
      </c>
      <c r="F133" s="1959">
        <v>299.58999999999997</v>
      </c>
      <c r="G133" s="1964"/>
      <c r="H133" s="1959"/>
      <c r="I133" s="1964"/>
      <c r="J133" s="1967"/>
      <c r="K133" s="1983"/>
      <c r="L133" s="1964"/>
      <c r="M133" s="1964"/>
      <c r="N133" s="1985"/>
      <c r="O133" s="1985"/>
      <c r="P133" s="1985"/>
      <c r="Q133" s="1324"/>
      <c r="R133" s="1324"/>
      <c r="S133" s="1324"/>
      <c r="T133" s="1324"/>
      <c r="U133" s="1324"/>
      <c r="V133" s="1324"/>
      <c r="W133" s="1325"/>
      <c r="X133" s="1326">
        <v>129</v>
      </c>
      <c r="Y133" s="1982"/>
      <c r="Z133" s="1964"/>
      <c r="AA133" s="1959">
        <v>174.74</v>
      </c>
      <c r="AB133" s="1964">
        <v>178.05</v>
      </c>
      <c r="AC133" s="1967">
        <v>181.37</v>
      </c>
      <c r="AD133" s="1959">
        <v>184.68</v>
      </c>
      <c r="AE133" s="1959"/>
      <c r="AF133" s="1959"/>
      <c r="AG133" s="1964"/>
      <c r="AH133" s="1967"/>
      <c r="AI133" s="1983"/>
      <c r="AJ133" s="1984"/>
      <c r="AK133" s="1985"/>
      <c r="AL133" s="1985"/>
      <c r="AM133" s="1985"/>
      <c r="AN133" s="1324"/>
      <c r="AO133" s="1324"/>
      <c r="AP133" s="1324"/>
      <c r="AQ133" s="1324"/>
      <c r="AR133" s="1324"/>
      <c r="AS133" s="1324"/>
      <c r="AT133" s="1324"/>
      <c r="AU133" s="1325"/>
      <c r="AV133" s="1327"/>
    </row>
    <row r="134" spans="1:48">
      <c r="A134" s="1945"/>
      <c r="B134" s="1945"/>
      <c r="C134" s="1959">
        <v>287.83</v>
      </c>
      <c r="D134" s="1964">
        <v>292.56</v>
      </c>
      <c r="E134" s="1967">
        <v>297.27</v>
      </c>
      <c r="F134" s="1959">
        <v>302.02999999999997</v>
      </c>
      <c r="G134" s="1964"/>
      <c r="H134" s="1959"/>
      <c r="I134" s="1964"/>
      <c r="J134" s="1967"/>
      <c r="K134" s="1983"/>
      <c r="L134" s="1964"/>
      <c r="M134" s="1964"/>
      <c r="N134" s="1985"/>
      <c r="O134" s="1985"/>
      <c r="P134" s="1985"/>
      <c r="Q134" s="1324"/>
      <c r="R134" s="1324"/>
      <c r="S134" s="1324"/>
      <c r="T134" s="1324"/>
      <c r="U134" s="1324"/>
      <c r="V134" s="1324"/>
      <c r="W134" s="1325"/>
      <c r="X134" s="1326">
        <v>130</v>
      </c>
      <c r="Y134" s="1982"/>
      <c r="Z134" s="1964"/>
      <c r="AA134" s="1959">
        <v>176.12</v>
      </c>
      <c r="AB134" s="1964">
        <v>179.46</v>
      </c>
      <c r="AC134" s="1967">
        <v>182.8</v>
      </c>
      <c r="AD134" s="1959">
        <v>186.15</v>
      </c>
      <c r="AE134" s="1959"/>
      <c r="AF134" s="1959"/>
      <c r="AG134" s="1964"/>
      <c r="AH134" s="1967"/>
      <c r="AI134" s="1983"/>
      <c r="AJ134" s="1984"/>
      <c r="AK134" s="1985"/>
      <c r="AL134" s="1985"/>
      <c r="AM134" s="1985"/>
      <c r="AN134" s="1324"/>
      <c r="AO134" s="1324"/>
      <c r="AP134" s="1324"/>
      <c r="AQ134" s="1324"/>
      <c r="AR134" s="1324"/>
      <c r="AS134" s="1324"/>
      <c r="AT134" s="1324"/>
      <c r="AU134" s="1325"/>
      <c r="AV134" s="1327"/>
    </row>
    <row r="135" spans="1:48">
      <c r="A135" s="1945"/>
      <c r="B135" s="1945"/>
      <c r="C135" s="1959">
        <v>289.88</v>
      </c>
      <c r="D135" s="1964">
        <v>294.64999999999998</v>
      </c>
      <c r="E135" s="1967">
        <v>299.41000000000003</v>
      </c>
      <c r="F135" s="1959">
        <v>304.18</v>
      </c>
      <c r="G135" s="1964"/>
      <c r="H135" s="1959"/>
      <c r="I135" s="1964"/>
      <c r="J135" s="1967"/>
      <c r="K135" s="1983"/>
      <c r="L135" s="1964"/>
      <c r="M135" s="1964"/>
      <c r="N135" s="1985"/>
      <c r="O135" s="1985"/>
      <c r="P135" s="1985"/>
      <c r="Q135" s="1324"/>
      <c r="R135" s="1324"/>
      <c r="S135" s="1324"/>
      <c r="T135" s="1324"/>
      <c r="U135" s="1324"/>
      <c r="V135" s="1324"/>
      <c r="W135" s="1325"/>
      <c r="X135" s="1326">
        <v>131</v>
      </c>
      <c r="Y135" s="1982"/>
      <c r="Z135" s="1964"/>
      <c r="AA135" s="1959">
        <v>177.44</v>
      </c>
      <c r="AB135" s="1964">
        <v>180.8</v>
      </c>
      <c r="AC135" s="1967">
        <v>184.17</v>
      </c>
      <c r="AD135" s="1959">
        <v>187.54</v>
      </c>
      <c r="AE135" s="1959"/>
      <c r="AF135" s="1959"/>
      <c r="AG135" s="1964"/>
      <c r="AH135" s="1967"/>
      <c r="AI135" s="1983"/>
      <c r="AJ135" s="1984"/>
      <c r="AK135" s="1985"/>
      <c r="AL135" s="1985"/>
      <c r="AM135" s="1985"/>
      <c r="AN135" s="1324"/>
      <c r="AO135" s="1324"/>
      <c r="AP135" s="1324"/>
      <c r="AQ135" s="1324"/>
      <c r="AR135" s="1324"/>
      <c r="AS135" s="1324"/>
      <c r="AT135" s="1324"/>
      <c r="AU135" s="1325"/>
      <c r="AV135" s="1327"/>
    </row>
    <row r="136" spans="1:48">
      <c r="A136" s="1945"/>
      <c r="B136" s="1945"/>
      <c r="C136" s="1959">
        <v>292.22000000000003</v>
      </c>
      <c r="D136" s="1964">
        <v>297.02999999999997</v>
      </c>
      <c r="E136" s="1967">
        <v>301.83</v>
      </c>
      <c r="F136" s="1959">
        <v>306.64</v>
      </c>
      <c r="G136" s="1964"/>
      <c r="H136" s="1959"/>
      <c r="I136" s="1964"/>
      <c r="J136" s="1967"/>
      <c r="K136" s="1983"/>
      <c r="L136" s="1964"/>
      <c r="M136" s="1964"/>
      <c r="N136" s="1985"/>
      <c r="O136" s="1985"/>
      <c r="P136" s="1985"/>
      <c r="Q136" s="1324"/>
      <c r="R136" s="1324"/>
      <c r="S136" s="1324"/>
      <c r="T136" s="1324"/>
      <c r="U136" s="1324"/>
      <c r="V136" s="1324"/>
      <c r="W136" s="1325"/>
      <c r="X136" s="1326">
        <v>132</v>
      </c>
      <c r="Y136" s="1982"/>
      <c r="Z136" s="1964"/>
      <c r="AA136" s="1959">
        <v>178.75</v>
      </c>
      <c r="AB136" s="1964">
        <v>182.14</v>
      </c>
      <c r="AC136" s="1967">
        <v>185.53</v>
      </c>
      <c r="AD136" s="1959">
        <v>188.93</v>
      </c>
      <c r="AE136" s="1959"/>
      <c r="AF136" s="1959"/>
      <c r="AG136" s="1964"/>
      <c r="AH136" s="1967"/>
      <c r="AI136" s="1983"/>
      <c r="AJ136" s="1984"/>
      <c r="AK136" s="1985"/>
      <c r="AL136" s="1985"/>
      <c r="AM136" s="1985"/>
      <c r="AN136" s="1324"/>
      <c r="AO136" s="1324"/>
      <c r="AP136" s="1324"/>
      <c r="AQ136" s="1324"/>
      <c r="AR136" s="1324"/>
      <c r="AS136" s="1324"/>
      <c r="AT136" s="1324"/>
      <c r="AU136" s="1325"/>
      <c r="AV136" s="1327"/>
    </row>
    <row r="137" spans="1:48">
      <c r="A137" s="1945"/>
      <c r="B137" s="1945"/>
      <c r="C137" s="1959">
        <v>294.27999999999997</v>
      </c>
      <c r="D137" s="1964">
        <v>299.12</v>
      </c>
      <c r="E137" s="1967">
        <v>303.95999999999998</v>
      </c>
      <c r="F137" s="1959">
        <v>308.8</v>
      </c>
      <c r="G137" s="1964"/>
      <c r="H137" s="1959"/>
      <c r="I137" s="1964"/>
      <c r="J137" s="1967"/>
      <c r="K137" s="1983"/>
      <c r="L137" s="1964"/>
      <c r="M137" s="1964"/>
      <c r="N137" s="1985"/>
      <c r="O137" s="1985"/>
      <c r="P137" s="1985"/>
      <c r="Q137" s="1324"/>
      <c r="R137" s="1324"/>
      <c r="S137" s="1324"/>
      <c r="T137" s="1324"/>
      <c r="U137" s="1324"/>
      <c r="V137" s="1324"/>
      <c r="W137" s="1325"/>
      <c r="X137" s="1326">
        <v>133</v>
      </c>
      <c r="Y137" s="1982"/>
      <c r="Z137" s="1964"/>
      <c r="AA137" s="1959">
        <v>180.14</v>
      </c>
      <c r="AB137" s="1964">
        <v>183.56</v>
      </c>
      <c r="AC137" s="1967">
        <v>186.98</v>
      </c>
      <c r="AD137" s="1959">
        <v>190.4</v>
      </c>
      <c r="AE137" s="1959"/>
      <c r="AF137" s="1959"/>
      <c r="AG137" s="1964"/>
      <c r="AH137" s="1967"/>
      <c r="AI137" s="1983"/>
      <c r="AJ137" s="1984"/>
      <c r="AK137" s="1985"/>
      <c r="AL137" s="1985"/>
      <c r="AM137" s="1985"/>
      <c r="AN137" s="1324"/>
      <c r="AO137" s="1324"/>
      <c r="AP137" s="1324"/>
      <c r="AQ137" s="1324"/>
      <c r="AR137" s="1324"/>
      <c r="AS137" s="1324"/>
      <c r="AT137" s="1324"/>
      <c r="AU137" s="1325"/>
      <c r="AV137" s="1327"/>
    </row>
    <row r="138" spans="1:48">
      <c r="A138" s="1945"/>
      <c r="B138" s="1945"/>
      <c r="C138" s="1959">
        <v>296.64</v>
      </c>
      <c r="D138" s="1964">
        <v>301.52</v>
      </c>
      <c r="E138" s="1967">
        <v>306.39999999999998</v>
      </c>
      <c r="F138" s="1959">
        <v>311.27</v>
      </c>
      <c r="G138" s="1964"/>
      <c r="H138" s="1959"/>
      <c r="I138" s="1964"/>
      <c r="J138" s="1967"/>
      <c r="K138" s="1983"/>
      <c r="L138" s="1964"/>
      <c r="M138" s="1964"/>
      <c r="N138" s="1985"/>
      <c r="O138" s="1985"/>
      <c r="P138" s="1985"/>
      <c r="Q138" s="1324"/>
      <c r="R138" s="1324"/>
      <c r="S138" s="1324"/>
      <c r="T138" s="1324"/>
      <c r="U138" s="1324"/>
      <c r="V138" s="1324"/>
      <c r="W138" s="1325"/>
      <c r="X138" s="1326">
        <v>134</v>
      </c>
      <c r="Y138" s="1982"/>
      <c r="Z138" s="1964"/>
      <c r="AA138" s="1959">
        <v>181.46</v>
      </c>
      <c r="AB138" s="1964">
        <v>184.9</v>
      </c>
      <c r="AC138" s="1967">
        <v>188.35</v>
      </c>
      <c r="AD138" s="1959">
        <v>191.79</v>
      </c>
      <c r="AE138" s="1959"/>
      <c r="AF138" s="1959"/>
      <c r="AG138" s="1964"/>
      <c r="AH138" s="1967"/>
      <c r="AI138" s="1983"/>
      <c r="AJ138" s="1984"/>
      <c r="AK138" s="1985"/>
      <c r="AL138" s="1985"/>
      <c r="AM138" s="1985"/>
      <c r="AN138" s="1324"/>
      <c r="AO138" s="1324"/>
      <c r="AP138" s="1324"/>
      <c r="AQ138" s="1324"/>
      <c r="AR138" s="1324"/>
      <c r="AS138" s="1324"/>
      <c r="AT138" s="1324"/>
      <c r="AU138" s="1325"/>
      <c r="AV138" s="1327"/>
    </row>
    <row r="139" spans="1:48">
      <c r="A139" s="1945"/>
      <c r="B139" s="1945"/>
      <c r="C139" s="1959">
        <v>298.70999999999998</v>
      </c>
      <c r="D139" s="1964">
        <v>303.62</v>
      </c>
      <c r="E139" s="1967">
        <v>308.52999999999997</v>
      </c>
      <c r="F139" s="1959">
        <v>313.45</v>
      </c>
      <c r="G139" s="1964"/>
      <c r="H139" s="1959"/>
      <c r="I139" s="1964"/>
      <c r="J139" s="1967"/>
      <c r="K139" s="1983"/>
      <c r="L139" s="1964"/>
      <c r="M139" s="1964"/>
      <c r="N139" s="1985"/>
      <c r="O139" s="1985"/>
      <c r="P139" s="1985"/>
      <c r="Q139" s="1324"/>
      <c r="R139" s="1324"/>
      <c r="S139" s="1324"/>
      <c r="T139" s="1324"/>
      <c r="U139" s="1324"/>
      <c r="V139" s="1324"/>
      <c r="W139" s="1325"/>
      <c r="X139" s="1326">
        <v>135</v>
      </c>
      <c r="Y139" s="1982"/>
      <c r="Z139" s="1964"/>
      <c r="AA139" s="1959">
        <v>182.86</v>
      </c>
      <c r="AB139" s="1964">
        <v>186.33</v>
      </c>
      <c r="AC139" s="1967">
        <v>189.8</v>
      </c>
      <c r="AD139" s="1959">
        <v>193.27</v>
      </c>
      <c r="AE139" s="1959"/>
      <c r="AF139" s="1959"/>
      <c r="AG139" s="1964"/>
      <c r="AH139" s="1967"/>
      <c r="AI139" s="1983"/>
      <c r="AJ139" s="1984"/>
      <c r="AK139" s="1985"/>
      <c r="AL139" s="1985"/>
      <c r="AM139" s="1985"/>
      <c r="AN139" s="1324"/>
      <c r="AO139" s="1324"/>
      <c r="AP139" s="1324"/>
      <c r="AQ139" s="1324"/>
      <c r="AR139" s="1324"/>
      <c r="AS139" s="1324"/>
      <c r="AT139" s="1324"/>
      <c r="AU139" s="1325"/>
      <c r="AV139" s="1327"/>
    </row>
    <row r="140" spans="1:48">
      <c r="A140" s="1945"/>
      <c r="B140" s="1945"/>
      <c r="C140" s="1959">
        <v>300.77999999999997</v>
      </c>
      <c r="D140" s="1964">
        <v>305.73</v>
      </c>
      <c r="E140" s="1967">
        <v>310.68</v>
      </c>
      <c r="F140" s="1959">
        <v>315.63</v>
      </c>
      <c r="G140" s="1964"/>
      <c r="H140" s="1959"/>
      <c r="I140" s="1964"/>
      <c r="J140" s="1967"/>
      <c r="K140" s="1983"/>
      <c r="L140" s="1964"/>
      <c r="M140" s="1964"/>
      <c r="N140" s="1985"/>
      <c r="O140" s="1985"/>
      <c r="P140" s="1985"/>
      <c r="Q140" s="1324"/>
      <c r="R140" s="1324"/>
      <c r="S140" s="1324"/>
      <c r="T140" s="1324"/>
      <c r="U140" s="1324"/>
      <c r="V140" s="1324"/>
      <c r="W140" s="1325"/>
      <c r="X140" s="1326">
        <v>136</v>
      </c>
      <c r="Y140" s="1982"/>
      <c r="Z140" s="1964"/>
      <c r="AA140" s="1959">
        <v>184.18</v>
      </c>
      <c r="AB140" s="1964">
        <v>187.67</v>
      </c>
      <c r="AC140" s="1967">
        <v>191.17</v>
      </c>
      <c r="AD140" s="1959">
        <v>194.66</v>
      </c>
      <c r="AE140" s="1959"/>
      <c r="AF140" s="1959"/>
      <c r="AG140" s="1964"/>
      <c r="AH140" s="1967"/>
      <c r="AI140" s="1983"/>
      <c r="AJ140" s="1984"/>
      <c r="AK140" s="1985"/>
      <c r="AL140" s="1985"/>
      <c r="AM140" s="1985"/>
      <c r="AN140" s="1324"/>
      <c r="AO140" s="1324"/>
      <c r="AP140" s="1324"/>
      <c r="AQ140" s="1324"/>
      <c r="AR140" s="1324"/>
      <c r="AS140" s="1324"/>
      <c r="AT140" s="1324"/>
      <c r="AU140" s="1325"/>
      <c r="AV140" s="1327"/>
    </row>
    <row r="141" spans="1:48">
      <c r="A141" s="1945"/>
      <c r="B141" s="1945"/>
      <c r="C141" s="1959">
        <v>303.16000000000003</v>
      </c>
      <c r="D141" s="1964">
        <v>308.14999999999998</v>
      </c>
      <c r="E141" s="1967">
        <v>313.14</v>
      </c>
      <c r="F141" s="1959">
        <v>318.12</v>
      </c>
      <c r="G141" s="1964"/>
      <c r="H141" s="1959"/>
      <c r="I141" s="1964"/>
      <c r="J141" s="1967"/>
      <c r="K141" s="1983"/>
      <c r="L141" s="1964"/>
      <c r="M141" s="1964"/>
      <c r="N141" s="1985"/>
      <c r="O141" s="1985"/>
      <c r="P141" s="1985"/>
      <c r="Q141" s="1324"/>
      <c r="R141" s="1324"/>
      <c r="S141" s="1324"/>
      <c r="T141" s="1324"/>
      <c r="U141" s="1324"/>
      <c r="V141" s="1324"/>
      <c r="W141" s="1325"/>
      <c r="X141" s="1326">
        <v>137</v>
      </c>
      <c r="Y141" s="1982"/>
      <c r="Z141" s="1964"/>
      <c r="AA141" s="1959">
        <v>185.58</v>
      </c>
      <c r="AB141" s="1964">
        <v>189.1</v>
      </c>
      <c r="AC141" s="1967">
        <v>192.62</v>
      </c>
      <c r="AD141" s="1959">
        <v>196.14</v>
      </c>
      <c r="AE141" s="1959"/>
      <c r="AF141" s="1959"/>
      <c r="AG141" s="1964"/>
      <c r="AH141" s="1967"/>
      <c r="AI141" s="1983"/>
      <c r="AJ141" s="1984"/>
      <c r="AK141" s="1985"/>
      <c r="AL141" s="1985"/>
      <c r="AM141" s="1985"/>
      <c r="AN141" s="1324"/>
      <c r="AO141" s="1324"/>
      <c r="AP141" s="1324"/>
      <c r="AQ141" s="1324"/>
      <c r="AR141" s="1324"/>
      <c r="AS141" s="1324"/>
      <c r="AT141" s="1324"/>
      <c r="AU141" s="1325"/>
      <c r="AV141" s="1327"/>
    </row>
    <row r="142" spans="1:48">
      <c r="A142" s="1945"/>
      <c r="B142" s="1945"/>
      <c r="C142" s="1959">
        <v>305.24</v>
      </c>
      <c r="D142" s="1964">
        <v>310.26</v>
      </c>
      <c r="E142" s="1967">
        <v>315.29000000000002</v>
      </c>
      <c r="F142" s="1959">
        <v>320.31</v>
      </c>
      <c r="G142" s="1964"/>
      <c r="H142" s="1959"/>
      <c r="I142" s="1964"/>
      <c r="J142" s="1967"/>
      <c r="K142" s="1983"/>
      <c r="L142" s="1964"/>
      <c r="M142" s="1964"/>
      <c r="N142" s="1985"/>
      <c r="O142" s="1985"/>
      <c r="P142" s="1985"/>
      <c r="Q142" s="1324"/>
      <c r="R142" s="1324"/>
      <c r="S142" s="1324"/>
      <c r="T142" s="1324"/>
      <c r="U142" s="1324"/>
      <c r="V142" s="1324"/>
      <c r="W142" s="1325"/>
      <c r="X142" s="1326">
        <v>138</v>
      </c>
      <c r="Y142" s="1982"/>
      <c r="Z142" s="1964"/>
      <c r="AA142" s="1959">
        <v>186.9</v>
      </c>
      <c r="AB142" s="1964">
        <v>190.4</v>
      </c>
      <c r="AC142" s="1967">
        <v>193.99</v>
      </c>
      <c r="AD142" s="1959">
        <v>197.54</v>
      </c>
      <c r="AE142" s="1959"/>
      <c r="AF142" s="1959"/>
      <c r="AG142" s="1964"/>
      <c r="AH142" s="1967"/>
      <c r="AI142" s="1983"/>
      <c r="AJ142" s="1984"/>
      <c r="AK142" s="1985"/>
      <c r="AL142" s="1985"/>
      <c r="AM142" s="1985"/>
      <c r="AN142" s="1324"/>
      <c r="AO142" s="1324"/>
      <c r="AP142" s="1324"/>
      <c r="AQ142" s="1324"/>
      <c r="AR142" s="1324"/>
      <c r="AS142" s="1324"/>
      <c r="AT142" s="1324"/>
      <c r="AU142" s="1325"/>
      <c r="AV142" s="1327"/>
    </row>
    <row r="143" spans="1:48">
      <c r="A143" s="1945"/>
      <c r="B143" s="1945"/>
      <c r="C143" s="1959">
        <v>307.64999999999998</v>
      </c>
      <c r="D143" s="1964">
        <v>312.70999999999998</v>
      </c>
      <c r="E143" s="1967">
        <v>317.76</v>
      </c>
      <c r="F143" s="1959">
        <v>322.82</v>
      </c>
      <c r="G143" s="1964"/>
      <c r="H143" s="1959"/>
      <c r="I143" s="1964"/>
      <c r="J143" s="1967"/>
      <c r="K143" s="1983"/>
      <c r="L143" s="1964"/>
      <c r="M143" s="1964"/>
      <c r="N143" s="1985"/>
      <c r="O143" s="1985"/>
      <c r="P143" s="1985"/>
      <c r="Q143" s="1324"/>
      <c r="R143" s="1324"/>
      <c r="S143" s="1324"/>
      <c r="T143" s="1324"/>
      <c r="U143" s="1324"/>
      <c r="V143" s="1324"/>
      <c r="W143" s="1325"/>
      <c r="X143" s="1326">
        <v>139</v>
      </c>
      <c r="Y143" s="1982"/>
      <c r="Z143" s="1964"/>
      <c r="AA143" s="1959">
        <v>188.22</v>
      </c>
      <c r="AB143" s="1964">
        <v>191.79</v>
      </c>
      <c r="AC143" s="1967">
        <v>195.37</v>
      </c>
      <c r="AD143" s="1959">
        <v>198.94</v>
      </c>
      <c r="AE143" s="1959"/>
      <c r="AF143" s="1959"/>
      <c r="AG143" s="1964"/>
      <c r="AH143" s="1967"/>
      <c r="AI143" s="1983"/>
      <c r="AJ143" s="1986"/>
      <c r="AK143" s="1985"/>
      <c r="AL143" s="1985"/>
      <c r="AM143" s="1985"/>
      <c r="AN143" s="1324"/>
      <c r="AO143" s="1324"/>
      <c r="AP143" s="1324"/>
      <c r="AQ143" s="1324"/>
      <c r="AR143" s="1324"/>
      <c r="AS143" s="1324"/>
      <c r="AT143" s="1324"/>
      <c r="AU143" s="1325"/>
      <c r="AV143" s="1327"/>
    </row>
    <row r="144" spans="1:48">
      <c r="A144" s="1945"/>
      <c r="B144" s="1945"/>
      <c r="C144" s="1959">
        <v>309.73</v>
      </c>
      <c r="D144" s="1964">
        <v>314.83</v>
      </c>
      <c r="E144" s="1967">
        <v>319.93</v>
      </c>
      <c r="F144" s="1959">
        <v>325.02</v>
      </c>
      <c r="G144" s="1964"/>
      <c r="H144" s="1959"/>
      <c r="I144" s="1964"/>
      <c r="J144" s="1967"/>
      <c r="K144" s="1983"/>
      <c r="L144" s="1964"/>
      <c r="M144" s="1964"/>
      <c r="N144" s="1985"/>
      <c r="O144" s="1985"/>
      <c r="P144" s="1985"/>
      <c r="Q144" s="1324"/>
      <c r="R144" s="1324"/>
      <c r="S144" s="1324"/>
      <c r="T144" s="1324"/>
      <c r="U144" s="1324"/>
      <c r="V144" s="1324"/>
      <c r="W144" s="1325"/>
      <c r="X144" s="1326">
        <v>140</v>
      </c>
      <c r="Y144" s="1982"/>
      <c r="Z144" s="1964"/>
      <c r="AA144" s="1959">
        <v>189.55</v>
      </c>
      <c r="AB144" s="1964">
        <v>193.14</v>
      </c>
      <c r="AC144" s="1967">
        <v>196.74</v>
      </c>
      <c r="AD144" s="1959">
        <v>200.34</v>
      </c>
      <c r="AE144" s="1959"/>
      <c r="AF144" s="1959"/>
      <c r="AG144" s="1964"/>
      <c r="AH144" s="1967"/>
      <c r="AI144" s="1983"/>
      <c r="AJ144" s="1984"/>
      <c r="AK144" s="1985"/>
      <c r="AL144" s="1985"/>
      <c r="AM144" s="1985"/>
      <c r="AN144" s="1324"/>
      <c r="AO144" s="1324"/>
      <c r="AP144" s="1324"/>
      <c r="AQ144" s="1324"/>
      <c r="AR144" s="1324"/>
      <c r="AS144" s="1324"/>
      <c r="AT144" s="1324"/>
      <c r="AU144" s="1325"/>
      <c r="AV144" s="1327"/>
    </row>
    <row r="145" spans="1:48">
      <c r="A145" s="1945"/>
      <c r="B145" s="1945"/>
      <c r="C145" s="1959">
        <v>311.83</v>
      </c>
      <c r="D145" s="1964">
        <v>316.95999999999998</v>
      </c>
      <c r="E145" s="1967">
        <v>322.08999999999997</v>
      </c>
      <c r="F145" s="1959">
        <v>327.22000000000003</v>
      </c>
      <c r="G145" s="1964"/>
      <c r="H145" s="1959"/>
      <c r="I145" s="1964"/>
      <c r="J145" s="1967"/>
      <c r="K145" s="1983"/>
      <c r="L145" s="1964"/>
      <c r="M145" s="1964"/>
      <c r="N145" s="1985"/>
      <c r="O145" s="1985"/>
      <c r="P145" s="1985"/>
      <c r="Q145" s="1324"/>
      <c r="R145" s="1324"/>
      <c r="S145" s="1324"/>
      <c r="T145" s="1324"/>
      <c r="U145" s="1324"/>
      <c r="V145" s="1324"/>
      <c r="W145" s="1325"/>
      <c r="X145" s="1326">
        <v>141</v>
      </c>
      <c r="Y145" s="1982"/>
      <c r="Z145" s="1964"/>
      <c r="AA145" s="1959">
        <v>190.96</v>
      </c>
      <c r="AB145" s="1964">
        <v>194.18</v>
      </c>
      <c r="AC145" s="1967">
        <v>198.2</v>
      </c>
      <c r="AD145" s="1959">
        <v>201.83</v>
      </c>
      <c r="AE145" s="1959"/>
      <c r="AF145" s="1959"/>
      <c r="AG145" s="1964"/>
      <c r="AH145" s="1967"/>
      <c r="AI145" s="1983"/>
      <c r="AJ145" s="1984"/>
      <c r="AK145" s="1985"/>
      <c r="AL145" s="1985"/>
      <c r="AM145" s="1985"/>
      <c r="AN145" s="1324"/>
      <c r="AO145" s="1324"/>
      <c r="AP145" s="1324"/>
      <c r="AQ145" s="1324"/>
      <c r="AR145" s="1324"/>
      <c r="AS145" s="1324"/>
      <c r="AT145" s="1324"/>
      <c r="AU145" s="1325"/>
      <c r="AV145" s="1327"/>
    </row>
    <row r="146" spans="1:48">
      <c r="A146" s="1945"/>
      <c r="B146" s="1945"/>
      <c r="C146" s="1959">
        <v>314.26</v>
      </c>
      <c r="D146" s="1964">
        <v>319.43</v>
      </c>
      <c r="E146" s="1967">
        <v>324.60000000000002</v>
      </c>
      <c r="F146" s="1959">
        <v>329.77</v>
      </c>
      <c r="G146" s="1964"/>
      <c r="H146" s="1959"/>
      <c r="I146" s="1964"/>
      <c r="J146" s="1967"/>
      <c r="K146" s="1983"/>
      <c r="L146" s="1964"/>
      <c r="M146" s="1964"/>
      <c r="N146" s="1985"/>
      <c r="O146" s="1985"/>
      <c r="P146" s="1985"/>
      <c r="Q146" s="1324"/>
      <c r="R146" s="1324"/>
      <c r="S146" s="1324"/>
      <c r="T146" s="1324"/>
      <c r="U146" s="1324"/>
      <c r="V146" s="1324"/>
      <c r="W146" s="1325"/>
      <c r="X146" s="1326">
        <v>142</v>
      </c>
      <c r="Y146" s="1982"/>
      <c r="Z146" s="1964"/>
      <c r="AA146" s="1959">
        <v>192.28</v>
      </c>
      <c r="AB146" s="1964">
        <v>195.93</v>
      </c>
      <c r="AC146" s="1967">
        <v>199.58</v>
      </c>
      <c r="AD146" s="1959">
        <v>203.23</v>
      </c>
      <c r="AE146" s="1959"/>
      <c r="AF146" s="1959"/>
      <c r="AG146" s="1964"/>
      <c r="AH146" s="1967"/>
      <c r="AI146" s="1983"/>
      <c r="AJ146" s="1984"/>
      <c r="AK146" s="1985"/>
      <c r="AL146" s="1985"/>
      <c r="AM146" s="1985"/>
      <c r="AN146" s="1324"/>
      <c r="AO146" s="1324"/>
      <c r="AP146" s="1324"/>
      <c r="AQ146" s="1324"/>
      <c r="AR146" s="1324"/>
      <c r="AS146" s="1324"/>
      <c r="AT146" s="1324"/>
      <c r="AU146" s="1325"/>
      <c r="AV146" s="1327"/>
    </row>
    <row r="147" spans="1:48">
      <c r="A147" s="1945"/>
      <c r="B147" s="1945"/>
      <c r="C147" s="1959">
        <v>316.36</v>
      </c>
      <c r="D147" s="1964">
        <v>321.57</v>
      </c>
      <c r="E147" s="1967">
        <v>326.77</v>
      </c>
      <c r="F147" s="1959">
        <v>331.98</v>
      </c>
      <c r="G147" s="1964"/>
      <c r="H147" s="1959"/>
      <c r="I147" s="1964"/>
      <c r="J147" s="1967"/>
      <c r="K147" s="1983"/>
      <c r="L147" s="1964"/>
      <c r="M147" s="1964"/>
      <c r="N147" s="1985"/>
      <c r="O147" s="1985"/>
      <c r="P147" s="1985"/>
      <c r="Q147" s="1324"/>
      <c r="R147" s="1324"/>
      <c r="S147" s="1324"/>
      <c r="T147" s="1324"/>
      <c r="U147" s="1324"/>
      <c r="V147" s="1324"/>
      <c r="W147" s="1325"/>
      <c r="X147" s="1326">
        <v>143</v>
      </c>
      <c r="Y147" s="1982"/>
      <c r="Z147" s="1964"/>
      <c r="AA147" s="1959">
        <v>193.61</v>
      </c>
      <c r="AB147" s="1964">
        <v>197.28</v>
      </c>
      <c r="AC147" s="1967">
        <v>200.96</v>
      </c>
      <c r="AD147" s="1959">
        <v>204.64</v>
      </c>
      <c r="AE147" s="1959"/>
      <c r="AF147" s="1959"/>
      <c r="AG147" s="1964"/>
      <c r="AH147" s="1967"/>
      <c r="AI147" s="1983"/>
      <c r="AJ147" s="1984"/>
      <c r="AK147" s="1985"/>
      <c r="AL147" s="1985"/>
      <c r="AM147" s="1985"/>
      <c r="AN147" s="1324"/>
      <c r="AO147" s="1324"/>
      <c r="AP147" s="1324"/>
      <c r="AQ147" s="1324"/>
      <c r="AR147" s="1324"/>
      <c r="AS147" s="1324"/>
      <c r="AT147" s="1324"/>
      <c r="AU147" s="1325"/>
      <c r="AV147" s="1327"/>
    </row>
    <row r="148" spans="1:48">
      <c r="A148" s="1945"/>
      <c r="B148" s="1945"/>
      <c r="C148" s="1959">
        <v>318.47000000000003</v>
      </c>
      <c r="D148" s="1964">
        <v>323.70999999999998</v>
      </c>
      <c r="E148" s="1967">
        <v>328.95</v>
      </c>
      <c r="F148" s="1959">
        <v>334.19</v>
      </c>
      <c r="G148" s="1964"/>
      <c r="H148" s="1959"/>
      <c r="I148" s="1964"/>
      <c r="J148" s="1967"/>
      <c r="K148" s="1983"/>
      <c r="L148" s="1964"/>
      <c r="M148" s="1964"/>
      <c r="N148" s="1985"/>
      <c r="O148" s="1985"/>
      <c r="P148" s="1985"/>
      <c r="Q148" s="1324"/>
      <c r="R148" s="1324"/>
      <c r="S148" s="1324"/>
      <c r="T148" s="1324"/>
      <c r="U148" s="1324"/>
      <c r="V148" s="1324"/>
      <c r="W148" s="1325"/>
      <c r="X148" s="1326">
        <v>144</v>
      </c>
      <c r="Y148" s="1982"/>
      <c r="Z148" s="1964"/>
      <c r="AA148" s="1959">
        <v>195.03</v>
      </c>
      <c r="AB148" s="1964">
        <v>198.73</v>
      </c>
      <c r="AC148" s="1967">
        <v>202.43</v>
      </c>
      <c r="AD148" s="1959">
        <v>206.13</v>
      </c>
      <c r="AE148" s="1959"/>
      <c r="AF148" s="1959"/>
      <c r="AG148" s="1964"/>
      <c r="AH148" s="1967"/>
      <c r="AI148" s="1983"/>
      <c r="AJ148" s="1984"/>
      <c r="AK148" s="1985"/>
      <c r="AL148" s="1985"/>
      <c r="AM148" s="1985"/>
      <c r="AN148" s="1324"/>
      <c r="AO148" s="1324"/>
      <c r="AP148" s="1324"/>
      <c r="AQ148" s="1324"/>
      <c r="AR148" s="1324"/>
      <c r="AS148" s="1324"/>
      <c r="AT148" s="1324"/>
      <c r="AU148" s="1325"/>
      <c r="AV148" s="1327"/>
    </row>
    <row r="149" spans="1:48">
      <c r="A149" s="1945"/>
      <c r="B149" s="1945"/>
      <c r="C149" s="1959">
        <v>320.93</v>
      </c>
      <c r="D149" s="1964">
        <v>326.20999999999998</v>
      </c>
      <c r="E149" s="1967">
        <v>331.49</v>
      </c>
      <c r="F149" s="1959">
        <v>336.76</v>
      </c>
      <c r="G149" s="1964"/>
      <c r="H149" s="1959"/>
      <c r="I149" s="1964"/>
      <c r="J149" s="1967"/>
      <c r="K149" s="1983"/>
      <c r="L149" s="1964"/>
      <c r="M149" s="1964"/>
      <c r="N149" s="1985"/>
      <c r="O149" s="1985"/>
      <c r="P149" s="1985"/>
      <c r="Q149" s="1324"/>
      <c r="R149" s="1324"/>
      <c r="S149" s="1324"/>
      <c r="T149" s="1324"/>
      <c r="U149" s="1324"/>
      <c r="V149" s="1324"/>
      <c r="W149" s="1325"/>
      <c r="X149" s="1326">
        <v>145</v>
      </c>
      <c r="Y149" s="1982"/>
      <c r="Z149" s="1964"/>
      <c r="AA149" s="1959">
        <v>196.36</v>
      </c>
      <c r="AB149" s="1964">
        <v>200.09</v>
      </c>
      <c r="AC149" s="1967">
        <v>203.81</v>
      </c>
      <c r="AD149" s="1959">
        <v>207.54</v>
      </c>
      <c r="AE149" s="1959"/>
      <c r="AF149" s="1959"/>
      <c r="AG149" s="1964"/>
      <c r="AH149" s="1967"/>
      <c r="AI149" s="1983"/>
      <c r="AJ149" s="1984"/>
      <c r="AK149" s="1985"/>
      <c r="AL149" s="1985"/>
      <c r="AM149" s="1985"/>
      <c r="AN149" s="1324"/>
      <c r="AO149" s="1324"/>
      <c r="AP149" s="1324"/>
      <c r="AQ149" s="1324"/>
      <c r="AR149" s="1324"/>
      <c r="AS149" s="1324"/>
      <c r="AT149" s="1324"/>
      <c r="AU149" s="1325"/>
      <c r="AV149" s="1327"/>
    </row>
    <row r="150" spans="1:48">
      <c r="A150" s="1945"/>
      <c r="B150" s="1945"/>
      <c r="C150" s="1959">
        <v>323.05</v>
      </c>
      <c r="D150" s="1964">
        <v>328.36</v>
      </c>
      <c r="E150" s="1967">
        <v>333.68</v>
      </c>
      <c r="F150" s="1959">
        <v>338.99</v>
      </c>
      <c r="G150" s="1964"/>
      <c r="H150" s="1959"/>
      <c r="I150" s="1964"/>
      <c r="J150" s="1967"/>
      <c r="K150" s="1983"/>
      <c r="L150" s="1964"/>
      <c r="M150" s="1964"/>
      <c r="N150" s="1985"/>
      <c r="O150" s="1985"/>
      <c r="P150" s="1985"/>
      <c r="Q150" s="1324"/>
      <c r="R150" s="1324"/>
      <c r="S150" s="1324"/>
      <c r="T150" s="1324"/>
      <c r="U150" s="1324"/>
      <c r="V150" s="1324"/>
      <c r="W150" s="1325"/>
      <c r="X150" s="1326">
        <v>146</v>
      </c>
      <c r="Y150" s="1982"/>
      <c r="Z150" s="1964"/>
      <c r="AA150" s="1959">
        <v>197.69</v>
      </c>
      <c r="AB150" s="1964">
        <v>201.44</v>
      </c>
      <c r="AC150" s="1967">
        <v>205.19</v>
      </c>
      <c r="AD150" s="1959">
        <v>208.95</v>
      </c>
      <c r="AE150" s="1959"/>
      <c r="AF150" s="1959"/>
      <c r="AG150" s="1964"/>
      <c r="AH150" s="1967"/>
      <c r="AI150" s="1983"/>
      <c r="AJ150" s="1984"/>
      <c r="AK150" s="1985"/>
      <c r="AL150" s="1985"/>
      <c r="AM150" s="1985"/>
      <c r="AN150" s="1324"/>
      <c r="AO150" s="1324"/>
      <c r="AP150" s="1324"/>
      <c r="AQ150" s="1324"/>
      <c r="AR150" s="1324"/>
      <c r="AS150" s="1324"/>
      <c r="AT150" s="1324"/>
      <c r="AU150" s="1325"/>
      <c r="AV150" s="1327"/>
    </row>
    <row r="151" spans="1:48">
      <c r="A151" s="1945"/>
      <c r="B151" s="1945"/>
      <c r="C151" s="1959">
        <v>325.17</v>
      </c>
      <c r="D151" s="1964">
        <v>330.52</v>
      </c>
      <c r="E151" s="1967">
        <v>335.87</v>
      </c>
      <c r="F151" s="1959">
        <v>341.22</v>
      </c>
      <c r="G151" s="1964"/>
      <c r="H151" s="1959"/>
      <c r="I151" s="1964"/>
      <c r="J151" s="1967"/>
      <c r="K151" s="1983"/>
      <c r="L151" s="1964"/>
      <c r="M151" s="1964"/>
      <c r="N151" s="1985"/>
      <c r="O151" s="1985"/>
      <c r="P151" s="1985"/>
      <c r="Q151" s="1324"/>
      <c r="R151" s="1324"/>
      <c r="S151" s="1324"/>
      <c r="T151" s="1324"/>
      <c r="U151" s="1324"/>
      <c r="V151" s="1324"/>
      <c r="W151" s="1325"/>
      <c r="X151" s="1326">
        <v>147</v>
      </c>
      <c r="Y151" s="1982"/>
      <c r="Z151" s="1964"/>
      <c r="AA151" s="1959">
        <v>199.02</v>
      </c>
      <c r="AB151" s="1964">
        <v>202.8</v>
      </c>
      <c r="AC151" s="1967">
        <v>206.58</v>
      </c>
      <c r="AD151" s="1959">
        <v>210.36</v>
      </c>
      <c r="AE151" s="1959"/>
      <c r="AF151" s="1959"/>
      <c r="AG151" s="1964"/>
      <c r="AH151" s="1967"/>
      <c r="AI151" s="1983"/>
      <c r="AJ151" s="1984"/>
      <c r="AK151" s="1985"/>
      <c r="AL151" s="1985"/>
      <c r="AM151" s="1985"/>
      <c r="AN151" s="1324"/>
      <c r="AO151" s="1324"/>
      <c r="AP151" s="1324"/>
      <c r="AQ151" s="1324"/>
      <c r="AR151" s="1324"/>
      <c r="AS151" s="1324"/>
      <c r="AT151" s="1324"/>
      <c r="AU151" s="1325"/>
      <c r="AV151" s="1327"/>
    </row>
    <row r="152" spans="1:48">
      <c r="A152" s="1945"/>
      <c r="B152" s="1945"/>
      <c r="C152" s="1959">
        <v>327.29000000000002</v>
      </c>
      <c r="D152" s="1964">
        <v>332.68</v>
      </c>
      <c r="E152" s="1967">
        <v>338.07</v>
      </c>
      <c r="F152" s="1959">
        <v>343.46</v>
      </c>
      <c r="G152" s="1964"/>
      <c r="H152" s="1959"/>
      <c r="I152" s="1964"/>
      <c r="J152" s="1967"/>
      <c r="K152" s="1983"/>
      <c r="L152" s="1964"/>
      <c r="M152" s="1964"/>
      <c r="N152" s="1985"/>
      <c r="O152" s="1985"/>
      <c r="P152" s="1985"/>
      <c r="Q152" s="1324"/>
      <c r="R152" s="1324"/>
      <c r="S152" s="1324"/>
      <c r="T152" s="1324"/>
      <c r="U152" s="1324"/>
      <c r="V152" s="1324"/>
      <c r="W152" s="1325"/>
      <c r="X152" s="1326">
        <v>148</v>
      </c>
      <c r="Y152" s="1982"/>
      <c r="Z152" s="1964"/>
      <c r="AA152" s="1959">
        <v>200.36</v>
      </c>
      <c r="AB152" s="1964">
        <v>204.16</v>
      </c>
      <c r="AC152" s="1967">
        <v>207.96</v>
      </c>
      <c r="AD152" s="1959">
        <v>211.77</v>
      </c>
      <c r="AE152" s="1959"/>
      <c r="AF152" s="1959"/>
      <c r="AG152" s="1964"/>
      <c r="AH152" s="1967"/>
      <c r="AI152" s="1983"/>
      <c r="AJ152" s="1984"/>
      <c r="AK152" s="1985"/>
      <c r="AL152" s="1985"/>
      <c r="AM152" s="1985"/>
      <c r="AN152" s="1324"/>
      <c r="AO152" s="1324"/>
      <c r="AP152" s="1324"/>
      <c r="AQ152" s="1324"/>
      <c r="AR152" s="1324"/>
      <c r="AS152" s="1324"/>
      <c r="AT152" s="1324"/>
      <c r="AU152" s="1325"/>
      <c r="AV152" s="1327"/>
    </row>
    <row r="153" spans="1:48">
      <c r="A153" s="1945"/>
      <c r="B153" s="1945"/>
      <c r="C153" s="1959">
        <v>329.42</v>
      </c>
      <c r="D153" s="1964">
        <v>334.85</v>
      </c>
      <c r="E153" s="1967">
        <v>340.27</v>
      </c>
      <c r="F153" s="1959">
        <v>345.7</v>
      </c>
      <c r="G153" s="1964"/>
      <c r="H153" s="1959"/>
      <c r="I153" s="1964"/>
      <c r="J153" s="1967"/>
      <c r="K153" s="1983"/>
      <c r="L153" s="1964"/>
      <c r="M153" s="1964"/>
      <c r="N153" s="1985"/>
      <c r="O153" s="1985"/>
      <c r="P153" s="1985"/>
      <c r="Q153" s="1324"/>
      <c r="R153" s="1324"/>
      <c r="S153" s="1324"/>
      <c r="T153" s="1324"/>
      <c r="U153" s="1324"/>
      <c r="V153" s="1324"/>
      <c r="W153" s="1325"/>
      <c r="X153" s="1326">
        <v>149</v>
      </c>
      <c r="Y153" s="1982"/>
      <c r="Z153" s="1964"/>
      <c r="AA153" s="1959">
        <v>201.79</v>
      </c>
      <c r="AB153" s="1964">
        <v>205.62</v>
      </c>
      <c r="AC153" s="1967">
        <v>209.45</v>
      </c>
      <c r="AD153" s="1959">
        <v>213.28</v>
      </c>
      <c r="AE153" s="1959"/>
      <c r="AF153" s="1959"/>
      <c r="AG153" s="1964"/>
      <c r="AH153" s="1967"/>
      <c r="AI153" s="1983"/>
      <c r="AJ153" s="1984"/>
      <c r="AK153" s="1985"/>
      <c r="AL153" s="1985"/>
      <c r="AM153" s="1985"/>
      <c r="AN153" s="1324"/>
      <c r="AO153" s="1324"/>
      <c r="AP153" s="1324"/>
      <c r="AQ153" s="1324"/>
      <c r="AR153" s="1324"/>
      <c r="AS153" s="1324"/>
      <c r="AT153" s="1324"/>
      <c r="AU153" s="1325"/>
      <c r="AV153" s="1327"/>
    </row>
    <row r="154" spans="1:48">
      <c r="A154" s="1945"/>
      <c r="B154" s="1945"/>
      <c r="C154" s="1959">
        <v>331.93</v>
      </c>
      <c r="D154" s="1964">
        <v>337.39</v>
      </c>
      <c r="E154" s="1967">
        <v>342.85</v>
      </c>
      <c r="F154" s="1959">
        <v>348.31</v>
      </c>
      <c r="G154" s="1964"/>
      <c r="H154" s="1959"/>
      <c r="I154" s="1964"/>
      <c r="J154" s="1967"/>
      <c r="K154" s="1983"/>
      <c r="L154" s="1964"/>
      <c r="M154" s="1964"/>
      <c r="N154" s="1985"/>
      <c r="O154" s="1985"/>
      <c r="P154" s="1985"/>
      <c r="Q154" s="1324"/>
      <c r="R154" s="1324"/>
      <c r="S154" s="1324"/>
      <c r="T154" s="1324"/>
      <c r="U154" s="1324"/>
      <c r="V154" s="1324"/>
      <c r="W154" s="1325"/>
      <c r="X154" s="1326">
        <v>150</v>
      </c>
      <c r="Y154" s="1982"/>
      <c r="Z154" s="1964"/>
      <c r="AA154" s="1959">
        <v>203.12</v>
      </c>
      <c r="AB154" s="1964">
        <v>206.98</v>
      </c>
      <c r="AC154" s="1967">
        <v>210.83</v>
      </c>
      <c r="AD154" s="1959">
        <v>214.69</v>
      </c>
      <c r="AE154" s="1959"/>
      <c r="AF154" s="1959"/>
      <c r="AG154" s="1964"/>
      <c r="AH154" s="1967"/>
      <c r="AI154" s="1983"/>
      <c r="AJ154" s="1984"/>
      <c r="AK154" s="1985"/>
      <c r="AL154" s="1985"/>
      <c r="AM154" s="1985"/>
      <c r="AN154" s="1324"/>
      <c r="AO154" s="1324"/>
      <c r="AP154" s="1324"/>
      <c r="AQ154" s="1324"/>
      <c r="AR154" s="1324"/>
      <c r="AS154" s="1324"/>
      <c r="AT154" s="1324"/>
      <c r="AU154" s="1325"/>
      <c r="AV154" s="1327"/>
    </row>
    <row r="155" spans="1:48">
      <c r="A155" s="1945"/>
      <c r="B155" s="1946"/>
      <c r="C155" s="1959">
        <v>334.08</v>
      </c>
      <c r="D155" s="1964">
        <v>339.57</v>
      </c>
      <c r="E155" s="1967">
        <v>345.07</v>
      </c>
      <c r="F155" s="1959">
        <v>350.56</v>
      </c>
      <c r="G155" s="1964"/>
      <c r="H155" s="1959"/>
      <c r="I155" s="1964"/>
      <c r="J155" s="1967"/>
      <c r="K155" s="1983"/>
      <c r="L155" s="1964"/>
      <c r="M155" s="1964"/>
      <c r="N155" s="1985"/>
      <c r="O155" s="1985"/>
      <c r="P155" s="1985"/>
      <c r="Q155" s="1324"/>
      <c r="R155" s="1324"/>
      <c r="S155" s="1324"/>
      <c r="T155" s="1324"/>
      <c r="U155" s="1324"/>
      <c r="V155" s="1324"/>
      <c r="W155" s="1325"/>
      <c r="X155" s="1326">
        <v>151</v>
      </c>
      <c r="Y155" s="1982"/>
      <c r="Z155" s="1964"/>
      <c r="AA155" s="1959">
        <v>204.46</v>
      </c>
      <c r="AB155" s="1964">
        <v>208.34</v>
      </c>
      <c r="AC155" s="1967">
        <v>212.22</v>
      </c>
      <c r="AD155" s="1959">
        <v>216.1</v>
      </c>
      <c r="AE155" s="1959"/>
      <c r="AF155" s="1959"/>
      <c r="AG155" s="1964"/>
      <c r="AH155" s="1967"/>
      <c r="AI155" s="1983"/>
      <c r="AJ155" s="1984"/>
      <c r="AK155" s="1985"/>
      <c r="AL155" s="1985"/>
      <c r="AM155" s="1985"/>
      <c r="AN155" s="1324"/>
      <c r="AO155" s="1324"/>
      <c r="AP155" s="1324"/>
      <c r="AQ155" s="1324"/>
      <c r="AR155" s="1324"/>
      <c r="AS155" s="1324"/>
      <c r="AT155" s="1324"/>
      <c r="AU155" s="1325"/>
      <c r="AV155" s="1327"/>
    </row>
    <row r="156" spans="1:48">
      <c r="A156" s="1945"/>
      <c r="B156" s="1946"/>
      <c r="C156" s="1959">
        <v>336.22</v>
      </c>
      <c r="D156" s="1964">
        <v>341.75</v>
      </c>
      <c r="E156" s="1967">
        <v>347.29</v>
      </c>
      <c r="F156" s="1959">
        <v>352.82</v>
      </c>
      <c r="G156" s="1964"/>
      <c r="H156" s="1959"/>
      <c r="I156" s="1964"/>
      <c r="J156" s="1967"/>
      <c r="K156" s="1983"/>
      <c r="L156" s="1964"/>
      <c r="M156" s="1964"/>
      <c r="N156" s="1985"/>
      <c r="O156" s="1985"/>
      <c r="P156" s="1985"/>
      <c r="Q156" s="1324"/>
      <c r="R156" s="1324"/>
      <c r="S156" s="1324"/>
      <c r="T156" s="1324"/>
      <c r="U156" s="1324"/>
      <c r="V156" s="1324"/>
      <c r="W156" s="1325"/>
      <c r="X156" s="1326">
        <v>152</v>
      </c>
      <c r="Y156" s="1982"/>
      <c r="Z156" s="1964"/>
      <c r="AA156" s="1959">
        <v>205.8</v>
      </c>
      <c r="AB156" s="1964">
        <v>209.71</v>
      </c>
      <c r="AC156" s="1967">
        <v>213.61</v>
      </c>
      <c r="AD156" s="1959">
        <v>217.52</v>
      </c>
      <c r="AE156" s="1959"/>
      <c r="AF156" s="1959"/>
      <c r="AG156" s="1964"/>
      <c r="AH156" s="1967"/>
      <c r="AI156" s="1983"/>
      <c r="AJ156" s="1984"/>
      <c r="AK156" s="1985"/>
      <c r="AL156" s="1985"/>
      <c r="AM156" s="1985"/>
      <c r="AN156" s="1324"/>
      <c r="AO156" s="1324"/>
      <c r="AP156" s="1324"/>
      <c r="AQ156" s="1324"/>
      <c r="AR156" s="1324"/>
      <c r="AS156" s="1324"/>
      <c r="AT156" s="1324"/>
      <c r="AU156" s="1325"/>
      <c r="AV156" s="1327"/>
    </row>
    <row r="157" spans="1:48">
      <c r="A157" s="1945"/>
      <c r="B157" s="1946"/>
      <c r="C157" s="1959">
        <v>338.37</v>
      </c>
      <c r="D157" s="1964">
        <v>343.94</v>
      </c>
      <c r="E157" s="1967">
        <v>349.51</v>
      </c>
      <c r="F157" s="1959">
        <v>355.08</v>
      </c>
      <c r="G157" s="1964"/>
      <c r="H157" s="1959"/>
      <c r="I157" s="1964"/>
      <c r="J157" s="1967"/>
      <c r="K157" s="1983"/>
      <c r="L157" s="1964"/>
      <c r="M157" s="1964"/>
      <c r="N157" s="1985"/>
      <c r="O157" s="1985"/>
      <c r="P157" s="1985"/>
      <c r="Q157" s="1324"/>
      <c r="R157" s="1324"/>
      <c r="S157" s="1324"/>
      <c r="T157" s="1324"/>
      <c r="U157" s="1324"/>
      <c r="V157" s="1324"/>
      <c r="W157" s="1325"/>
      <c r="X157" s="1326">
        <v>153</v>
      </c>
      <c r="Y157" s="1982"/>
      <c r="Z157" s="1964"/>
      <c r="AA157" s="1959">
        <v>207.18</v>
      </c>
      <c r="AB157" s="1964">
        <v>211.07</v>
      </c>
      <c r="AC157" s="1967">
        <v>215</v>
      </c>
      <c r="AD157" s="1959">
        <v>218.94</v>
      </c>
      <c r="AE157" s="1959"/>
      <c r="AF157" s="1959"/>
      <c r="AG157" s="1964"/>
      <c r="AH157" s="1967"/>
      <c r="AI157" s="1983"/>
      <c r="AJ157" s="1984"/>
      <c r="AK157" s="1985"/>
      <c r="AL157" s="1985"/>
      <c r="AM157" s="1985"/>
      <c r="AN157" s="1324"/>
      <c r="AO157" s="1324"/>
      <c r="AP157" s="1324"/>
      <c r="AQ157" s="1324"/>
      <c r="AR157" s="1324"/>
      <c r="AS157" s="1324"/>
      <c r="AT157" s="1324"/>
      <c r="AU157" s="1325"/>
      <c r="AV157" s="1327"/>
    </row>
    <row r="158" spans="1:48">
      <c r="A158" s="1945"/>
      <c r="B158" s="1946"/>
      <c r="C158" s="1959">
        <v>340.53</v>
      </c>
      <c r="D158" s="1964">
        <v>346.13</v>
      </c>
      <c r="E158" s="1967">
        <v>351.74</v>
      </c>
      <c r="F158" s="1959">
        <v>357.34</v>
      </c>
      <c r="G158" s="1964"/>
      <c r="H158" s="1959"/>
      <c r="I158" s="1964"/>
      <c r="J158" s="1967"/>
      <c r="K158" s="1983"/>
      <c r="L158" s="1964"/>
      <c r="M158" s="1964"/>
      <c r="N158" s="1985"/>
      <c r="O158" s="1985"/>
      <c r="P158" s="1985"/>
      <c r="Q158" s="1324"/>
      <c r="R158" s="1324"/>
      <c r="S158" s="1324"/>
      <c r="T158" s="1324"/>
      <c r="U158" s="1324"/>
      <c r="V158" s="1324"/>
      <c r="W158" s="1325"/>
      <c r="X158" s="1326">
        <v>154</v>
      </c>
      <c r="Y158" s="1982"/>
      <c r="Z158" s="1964"/>
      <c r="AA158" s="1959">
        <v>208.48</v>
      </c>
      <c r="AB158" s="1964">
        <v>212.44</v>
      </c>
      <c r="AC158" s="1967">
        <v>216.4</v>
      </c>
      <c r="AD158" s="1959">
        <v>220.35</v>
      </c>
      <c r="AE158" s="1959"/>
      <c r="AF158" s="1959"/>
      <c r="AG158" s="1964"/>
      <c r="AH158" s="1967"/>
      <c r="AI158" s="1983"/>
      <c r="AJ158" s="1984"/>
      <c r="AK158" s="1985"/>
      <c r="AL158" s="1985"/>
      <c r="AM158" s="1985"/>
      <c r="AN158" s="1324"/>
      <c r="AO158" s="1324"/>
      <c r="AP158" s="1324"/>
      <c r="AQ158" s="1324"/>
      <c r="AR158" s="1324"/>
      <c r="AS158" s="1324"/>
      <c r="AT158" s="1324"/>
      <c r="AU158" s="1325"/>
      <c r="AV158" s="1327"/>
    </row>
    <row r="159" spans="1:48">
      <c r="A159" s="1945"/>
      <c r="B159" s="1946"/>
      <c r="C159" s="1959">
        <v>342.69</v>
      </c>
      <c r="D159" s="1964">
        <v>348.33</v>
      </c>
      <c r="E159" s="1967">
        <v>353.97</v>
      </c>
      <c r="F159" s="1959">
        <v>359.61</v>
      </c>
      <c r="G159" s="1964"/>
      <c r="H159" s="1959"/>
      <c r="I159" s="1964"/>
      <c r="J159" s="1967"/>
      <c r="K159" s="1983"/>
      <c r="L159" s="1964"/>
      <c r="M159" s="1964"/>
      <c r="N159" s="1985"/>
      <c r="O159" s="1985"/>
      <c r="P159" s="1985"/>
      <c r="Q159" s="1324"/>
      <c r="R159" s="1324"/>
      <c r="S159" s="1324"/>
      <c r="T159" s="1324"/>
      <c r="U159" s="1324"/>
      <c r="V159" s="1324"/>
      <c r="W159" s="1325"/>
      <c r="X159" s="1326">
        <v>155</v>
      </c>
      <c r="Y159" s="1982"/>
      <c r="Z159" s="1964"/>
      <c r="AA159" s="1959">
        <v>209.82</v>
      </c>
      <c r="AB159" s="1964">
        <v>213.81</v>
      </c>
      <c r="AC159" s="1967">
        <v>217.79</v>
      </c>
      <c r="AD159" s="1959">
        <v>221.77</v>
      </c>
      <c r="AE159" s="1959"/>
      <c r="AF159" s="1959"/>
      <c r="AG159" s="1964"/>
      <c r="AH159" s="1967"/>
      <c r="AI159" s="1983"/>
      <c r="AJ159" s="1984"/>
      <c r="AK159" s="1985"/>
      <c r="AL159" s="1985"/>
      <c r="AM159" s="1985"/>
      <c r="AN159" s="1324"/>
      <c r="AO159" s="1324"/>
      <c r="AP159" s="1324"/>
      <c r="AQ159" s="1324"/>
      <c r="AR159" s="1324"/>
      <c r="AS159" s="1324"/>
      <c r="AT159" s="1324"/>
      <c r="AU159" s="1325"/>
      <c r="AV159" s="1327"/>
    </row>
    <row r="160" spans="1:48">
      <c r="A160" s="1945"/>
      <c r="B160" s="1946"/>
      <c r="C160" s="1959">
        <v>344.85</v>
      </c>
      <c r="D160" s="1964">
        <v>350.53</v>
      </c>
      <c r="E160" s="1967">
        <v>356.21</v>
      </c>
      <c r="F160" s="1959">
        <v>361.89</v>
      </c>
      <c r="G160" s="1964"/>
      <c r="H160" s="1959"/>
      <c r="I160" s="1964"/>
      <c r="J160" s="1967"/>
      <c r="K160" s="1983"/>
      <c r="L160" s="1964"/>
      <c r="M160" s="1964"/>
      <c r="N160" s="1985"/>
      <c r="O160" s="1985"/>
      <c r="P160" s="1985"/>
      <c r="Q160" s="1324"/>
      <c r="R160" s="1324"/>
      <c r="S160" s="1324"/>
      <c r="T160" s="1324"/>
      <c r="U160" s="1324"/>
      <c r="V160" s="1324"/>
      <c r="W160" s="1325"/>
      <c r="X160" s="1326">
        <v>156</v>
      </c>
      <c r="Y160" s="1982"/>
      <c r="Z160" s="1964"/>
      <c r="AA160" s="1959">
        <v>211.17</v>
      </c>
      <c r="AB160" s="1964">
        <v>215.17</v>
      </c>
      <c r="AC160" s="1967">
        <v>219.18</v>
      </c>
      <c r="AD160" s="1959">
        <v>223.19</v>
      </c>
      <c r="AE160" s="1959"/>
      <c r="AF160" s="1959"/>
      <c r="AG160" s="1964"/>
      <c r="AH160" s="1967"/>
      <c r="AI160" s="1983"/>
      <c r="AJ160" s="1984"/>
      <c r="AK160" s="1985"/>
      <c r="AL160" s="1985"/>
      <c r="AM160" s="1985"/>
      <c r="AN160" s="1324"/>
      <c r="AO160" s="1324"/>
      <c r="AP160" s="1324"/>
      <c r="AQ160" s="1324"/>
      <c r="AR160" s="1324"/>
      <c r="AS160" s="1324"/>
      <c r="AT160" s="1324"/>
      <c r="AU160" s="1325"/>
      <c r="AV160" s="1327"/>
    </row>
    <row r="161" spans="1:48">
      <c r="A161" s="1945"/>
      <c r="B161" s="1945"/>
      <c r="C161" s="1959">
        <v>347.02</v>
      </c>
      <c r="D161" s="1964">
        <v>352.74</v>
      </c>
      <c r="E161" s="1967">
        <v>358.45</v>
      </c>
      <c r="F161" s="1959">
        <v>364.16</v>
      </c>
      <c r="G161" s="1964"/>
      <c r="H161" s="1959"/>
      <c r="I161" s="1964"/>
      <c r="J161" s="1967"/>
      <c r="K161" s="1983"/>
      <c r="L161" s="1964"/>
      <c r="M161" s="1964"/>
      <c r="N161" s="1985"/>
      <c r="O161" s="1985"/>
      <c r="P161" s="1985"/>
      <c r="Q161" s="1324"/>
      <c r="R161" s="1324"/>
      <c r="S161" s="1324"/>
      <c r="T161" s="1324"/>
      <c r="U161" s="1324"/>
      <c r="V161" s="1324"/>
      <c r="W161" s="1325"/>
      <c r="X161" s="1326">
        <v>157</v>
      </c>
      <c r="Y161" s="1982"/>
      <c r="Z161" s="1964"/>
      <c r="AA161" s="1959">
        <v>212.51</v>
      </c>
      <c r="AB161" s="1964">
        <v>216.55</v>
      </c>
      <c r="AC161" s="1967">
        <v>220.58</v>
      </c>
      <c r="AD161" s="1959">
        <v>224.62</v>
      </c>
      <c r="AE161" s="1959"/>
      <c r="AF161" s="1959"/>
      <c r="AG161" s="1964"/>
      <c r="AH161" s="1967"/>
      <c r="AI161" s="1983"/>
      <c r="AJ161" s="1984"/>
      <c r="AK161" s="1985"/>
      <c r="AL161" s="1985"/>
      <c r="AM161" s="1985"/>
      <c r="AN161" s="1324"/>
      <c r="AO161" s="1324"/>
      <c r="AP161" s="1324"/>
      <c r="AQ161" s="1324"/>
      <c r="AR161" s="1324"/>
      <c r="AS161" s="1324"/>
      <c r="AT161" s="1324"/>
      <c r="AU161" s="1325"/>
      <c r="AV161" s="1327"/>
    </row>
    <row r="162" spans="1:48">
      <c r="A162" s="1945"/>
      <c r="B162" s="1945"/>
      <c r="C162" s="1959">
        <v>349.61</v>
      </c>
      <c r="D162" s="1964">
        <v>355.36</v>
      </c>
      <c r="E162" s="1967">
        <v>361.11</v>
      </c>
      <c r="F162" s="1959">
        <v>366.86</v>
      </c>
      <c r="G162" s="1964"/>
      <c r="H162" s="1959"/>
      <c r="I162" s="1964"/>
      <c r="J162" s="1967"/>
      <c r="K162" s="1983"/>
      <c r="L162" s="1964"/>
      <c r="M162" s="1964"/>
      <c r="N162" s="1985"/>
      <c r="O162" s="1985"/>
      <c r="P162" s="1985"/>
      <c r="Q162" s="1324"/>
      <c r="R162" s="1324"/>
      <c r="S162" s="1324"/>
      <c r="T162" s="1324"/>
      <c r="U162" s="1324"/>
      <c r="V162" s="1324"/>
      <c r="W162" s="1325"/>
      <c r="X162" s="1326">
        <v>158</v>
      </c>
      <c r="Y162" s="1982"/>
      <c r="Z162" s="1964"/>
      <c r="AA162" s="1959">
        <v>213.86</v>
      </c>
      <c r="AB162" s="1964">
        <v>217.92</v>
      </c>
      <c r="AC162" s="1967">
        <v>221.98</v>
      </c>
      <c r="AD162" s="1959">
        <v>226.04</v>
      </c>
      <c r="AE162" s="1959"/>
      <c r="AF162" s="1959"/>
      <c r="AG162" s="1964"/>
      <c r="AH162" s="1967"/>
      <c r="AI162" s="1983"/>
      <c r="AJ162" s="1984"/>
      <c r="AK162" s="1985"/>
      <c r="AL162" s="1985"/>
      <c r="AM162" s="1985"/>
      <c r="AN162" s="1324"/>
      <c r="AO162" s="1324"/>
      <c r="AP162" s="1324"/>
      <c r="AQ162" s="1324"/>
      <c r="AR162" s="1324"/>
      <c r="AS162" s="1324"/>
      <c r="AT162" s="1324"/>
      <c r="AU162" s="1325"/>
      <c r="AV162" s="1327"/>
    </row>
    <row r="163" spans="1:48">
      <c r="A163" s="1945"/>
      <c r="B163" s="1945"/>
      <c r="C163" s="1959">
        <v>351.79</v>
      </c>
      <c r="D163" s="1964">
        <v>357.58</v>
      </c>
      <c r="E163" s="1967">
        <v>363.37</v>
      </c>
      <c r="F163" s="1959">
        <v>369.16</v>
      </c>
      <c r="G163" s="1964"/>
      <c r="H163" s="1959"/>
      <c r="I163" s="1964"/>
      <c r="J163" s="1967"/>
      <c r="K163" s="1983"/>
      <c r="L163" s="1964"/>
      <c r="M163" s="1964"/>
      <c r="N163" s="1985"/>
      <c r="O163" s="1985"/>
      <c r="P163" s="1985"/>
      <c r="Q163" s="1324"/>
      <c r="R163" s="1324"/>
      <c r="S163" s="1324"/>
      <c r="T163" s="1324"/>
      <c r="U163" s="1324"/>
      <c r="V163" s="1324"/>
      <c r="W163" s="1325"/>
      <c r="X163" s="1326">
        <v>159</v>
      </c>
      <c r="Y163" s="1982"/>
      <c r="Z163" s="1964"/>
      <c r="AA163" s="1959">
        <v>215.2</v>
      </c>
      <c r="AB163" s="1964">
        <v>219.29</v>
      </c>
      <c r="AC163" s="1967">
        <v>223.38</v>
      </c>
      <c r="AD163" s="1959">
        <v>227.46</v>
      </c>
      <c r="AE163" s="1959"/>
      <c r="AF163" s="1959"/>
      <c r="AG163" s="1964"/>
      <c r="AH163" s="1967"/>
      <c r="AI163" s="1983"/>
      <c r="AJ163" s="1984"/>
      <c r="AK163" s="1985"/>
      <c r="AL163" s="1985"/>
      <c r="AM163" s="1985"/>
      <c r="AN163" s="1324"/>
      <c r="AO163" s="1324"/>
      <c r="AP163" s="1324"/>
      <c r="AQ163" s="1324"/>
      <c r="AR163" s="1324"/>
      <c r="AS163" s="1324"/>
      <c r="AT163" s="1324"/>
      <c r="AU163" s="1325"/>
      <c r="AV163" s="1327"/>
    </row>
    <row r="164" spans="1:48">
      <c r="A164" s="1945"/>
      <c r="B164" s="1945"/>
      <c r="C164" s="1959">
        <v>353.98</v>
      </c>
      <c r="D164" s="1964">
        <v>359.81</v>
      </c>
      <c r="E164" s="1967">
        <v>365.63</v>
      </c>
      <c r="F164" s="1959">
        <v>371.45</v>
      </c>
      <c r="G164" s="1964"/>
      <c r="H164" s="1959"/>
      <c r="I164" s="1964"/>
      <c r="J164" s="1967"/>
      <c r="K164" s="1983"/>
      <c r="L164" s="1964"/>
      <c r="M164" s="1964"/>
      <c r="N164" s="1985"/>
      <c r="O164" s="1985"/>
      <c r="P164" s="1985"/>
      <c r="Q164" s="1324"/>
      <c r="R164" s="1324"/>
      <c r="S164" s="1324"/>
      <c r="T164" s="1324"/>
      <c r="U164" s="1324"/>
      <c r="V164" s="1324"/>
      <c r="W164" s="1325"/>
      <c r="X164" s="1326">
        <v>160</v>
      </c>
      <c r="Y164" s="1982"/>
      <c r="Z164" s="1964"/>
      <c r="AA164" s="1959">
        <v>216.55</v>
      </c>
      <c r="AB164" s="1964">
        <v>220.66</v>
      </c>
      <c r="AC164" s="1967">
        <v>224.78</v>
      </c>
      <c r="AD164" s="1959">
        <v>228.89</v>
      </c>
      <c r="AE164" s="1959"/>
      <c r="AF164" s="1959"/>
      <c r="AG164" s="1964"/>
      <c r="AH164" s="1967"/>
      <c r="AI164" s="1983"/>
      <c r="AJ164" s="1984"/>
      <c r="AK164" s="1985"/>
      <c r="AL164" s="1985"/>
      <c r="AM164" s="1985"/>
      <c r="AN164" s="1324"/>
      <c r="AO164" s="1324"/>
      <c r="AP164" s="1324"/>
      <c r="AQ164" s="1324"/>
      <c r="AR164" s="1324"/>
      <c r="AS164" s="1324"/>
      <c r="AT164" s="1324"/>
      <c r="AU164" s="1325"/>
      <c r="AV164" s="1327"/>
    </row>
    <row r="165" spans="1:48">
      <c r="A165" s="1945"/>
      <c r="B165" s="1945"/>
      <c r="C165" s="1959">
        <v>356.18</v>
      </c>
      <c r="D165" s="1964">
        <v>362.04</v>
      </c>
      <c r="E165" s="1967">
        <v>367.9</v>
      </c>
      <c r="F165" s="1959">
        <v>373.76</v>
      </c>
      <c r="G165" s="1964"/>
      <c r="H165" s="1959"/>
      <c r="I165" s="1964"/>
      <c r="J165" s="1967"/>
      <c r="K165" s="1983"/>
      <c r="L165" s="1964"/>
      <c r="M165" s="1964"/>
      <c r="N165" s="1985"/>
      <c r="O165" s="1985"/>
      <c r="P165" s="1985"/>
      <c r="Q165" s="1324"/>
      <c r="R165" s="1324"/>
      <c r="S165" s="1324"/>
      <c r="T165" s="1324"/>
      <c r="U165" s="1324"/>
      <c r="V165" s="1324"/>
      <c r="W165" s="1325"/>
      <c r="X165" s="1326">
        <v>161</v>
      </c>
      <c r="Y165" s="1982"/>
      <c r="Z165" s="1964"/>
      <c r="AA165" s="1959">
        <v>217.9</v>
      </c>
      <c r="AB165" s="1964">
        <v>222.24</v>
      </c>
      <c r="AC165" s="1967">
        <v>226.18</v>
      </c>
      <c r="AD165" s="1959">
        <v>230.31</v>
      </c>
      <c r="AE165" s="1959"/>
      <c r="AF165" s="1959"/>
      <c r="AG165" s="1964"/>
      <c r="AH165" s="1967"/>
      <c r="AI165" s="1983"/>
      <c r="AJ165" s="1984"/>
      <c r="AK165" s="1985"/>
      <c r="AL165" s="1985"/>
      <c r="AM165" s="1985"/>
      <c r="AN165" s="1324"/>
      <c r="AO165" s="1324"/>
      <c r="AP165" s="1324"/>
      <c r="AQ165" s="1324"/>
      <c r="AR165" s="1324"/>
      <c r="AS165" s="1324"/>
      <c r="AT165" s="1324"/>
      <c r="AU165" s="1325"/>
      <c r="AV165" s="1327"/>
    </row>
    <row r="166" spans="1:48">
      <c r="A166" s="1946"/>
      <c r="B166" s="1946"/>
      <c r="C166" s="1959">
        <v>358.37</v>
      </c>
      <c r="D166" s="1964">
        <v>364.27</v>
      </c>
      <c r="E166" s="1967">
        <v>370.19</v>
      </c>
      <c r="F166" s="1959">
        <v>376.06</v>
      </c>
      <c r="G166" s="1964"/>
      <c r="H166" s="1959"/>
      <c r="I166" s="1964"/>
      <c r="J166" s="1967"/>
      <c r="K166" s="1983"/>
      <c r="L166" s="1964"/>
      <c r="M166" s="1964"/>
      <c r="N166" s="1985"/>
      <c r="O166" s="1985"/>
      <c r="P166" s="1985"/>
      <c r="Q166" s="1324"/>
      <c r="R166" s="1324"/>
      <c r="S166" s="1324"/>
      <c r="T166" s="1324"/>
      <c r="U166" s="1324"/>
      <c r="V166" s="1324"/>
      <c r="W166" s="1325"/>
      <c r="X166" s="1326">
        <v>162</v>
      </c>
      <c r="Y166" s="1982"/>
      <c r="Z166" s="1964"/>
      <c r="AA166" s="1959">
        <v>219.25</v>
      </c>
      <c r="AB166" s="1964">
        <v>223.42</v>
      </c>
      <c r="AC166" s="1967">
        <v>227.58</v>
      </c>
      <c r="AD166" s="1959">
        <v>231.74</v>
      </c>
      <c r="AE166" s="1959"/>
      <c r="AF166" s="1959"/>
      <c r="AG166" s="1964"/>
      <c r="AH166" s="1967"/>
      <c r="AI166" s="1983"/>
      <c r="AJ166" s="1984"/>
      <c r="AK166" s="1985"/>
      <c r="AL166" s="1985"/>
      <c r="AM166" s="1985"/>
      <c r="AN166" s="1324"/>
      <c r="AO166" s="1324"/>
      <c r="AP166" s="1324"/>
      <c r="AQ166" s="1324"/>
      <c r="AR166" s="1324"/>
      <c r="AS166" s="1324"/>
      <c r="AT166" s="1324"/>
      <c r="AU166" s="1325"/>
      <c r="AV166" s="1327"/>
    </row>
    <row r="167" spans="1:48">
      <c r="A167" s="1946"/>
      <c r="B167" s="1946"/>
      <c r="C167" s="1959">
        <v>360.58</v>
      </c>
      <c r="D167" s="1964">
        <v>366.51</v>
      </c>
      <c r="E167" s="1967">
        <v>372.44</v>
      </c>
      <c r="F167" s="1959">
        <v>378.38</v>
      </c>
      <c r="G167" s="1964"/>
      <c r="H167" s="1959"/>
      <c r="I167" s="1964"/>
      <c r="J167" s="1967"/>
      <c r="K167" s="1983"/>
      <c r="L167" s="1964"/>
      <c r="M167" s="1964"/>
      <c r="N167" s="1985"/>
      <c r="O167" s="1985"/>
      <c r="P167" s="1985"/>
      <c r="Q167" s="1324"/>
      <c r="R167" s="1324"/>
      <c r="S167" s="1324"/>
      <c r="T167" s="1324"/>
      <c r="U167" s="1324"/>
      <c r="V167" s="1324"/>
      <c r="W167" s="1325"/>
      <c r="X167" s="1326">
        <v>163</v>
      </c>
      <c r="Y167" s="1982"/>
      <c r="Z167" s="1964"/>
      <c r="AA167" s="1959">
        <v>220.61</v>
      </c>
      <c r="AB167" s="1964">
        <v>224.79</v>
      </c>
      <c r="AC167" s="1967">
        <v>228.98</v>
      </c>
      <c r="AD167" s="1959">
        <v>233.17</v>
      </c>
      <c r="AE167" s="1959"/>
      <c r="AF167" s="1959"/>
      <c r="AG167" s="1964"/>
      <c r="AH167" s="1967"/>
      <c r="AI167" s="1983"/>
      <c r="AJ167" s="1984"/>
      <c r="AK167" s="1985"/>
      <c r="AL167" s="1985"/>
      <c r="AM167" s="1985"/>
      <c r="AN167" s="1324"/>
      <c r="AO167" s="1324"/>
      <c r="AP167" s="1324"/>
      <c r="AQ167" s="1324"/>
      <c r="AR167" s="1324"/>
      <c r="AS167" s="1324"/>
      <c r="AT167" s="1324"/>
      <c r="AU167" s="1325"/>
      <c r="AV167" s="1327"/>
    </row>
    <row r="168" spans="1:48">
      <c r="A168" s="1946"/>
      <c r="B168" s="1946"/>
      <c r="C168" s="1959">
        <v>362.79</v>
      </c>
      <c r="D168" s="1964">
        <v>368.76</v>
      </c>
      <c r="E168" s="1967">
        <v>374.73</v>
      </c>
      <c r="F168" s="1959">
        <v>380.7</v>
      </c>
      <c r="G168" s="1964"/>
      <c r="H168" s="1959"/>
      <c r="I168" s="1964"/>
      <c r="J168" s="1967"/>
      <c r="K168" s="1983"/>
      <c r="L168" s="1964"/>
      <c r="M168" s="1964"/>
      <c r="N168" s="1985"/>
      <c r="O168" s="1985"/>
      <c r="P168" s="1985"/>
      <c r="Q168" s="1324"/>
      <c r="R168" s="1324"/>
      <c r="S168" s="1324"/>
      <c r="T168" s="1324"/>
      <c r="U168" s="1324"/>
      <c r="V168" s="1324"/>
      <c r="W168" s="1325"/>
      <c r="X168" s="1326">
        <v>164</v>
      </c>
      <c r="Y168" s="1982"/>
      <c r="Z168" s="1964"/>
      <c r="AA168" s="1959">
        <v>221.96</v>
      </c>
      <c r="AB168" s="1964">
        <v>226.17</v>
      </c>
      <c r="AC168" s="1967">
        <v>230.39</v>
      </c>
      <c r="AD168" s="1959">
        <v>234.6</v>
      </c>
      <c r="AE168" s="1959"/>
      <c r="AF168" s="1959"/>
      <c r="AG168" s="1964"/>
      <c r="AH168" s="1967"/>
      <c r="AI168" s="1983"/>
      <c r="AJ168" s="1984"/>
      <c r="AK168" s="1985"/>
      <c r="AL168" s="1985"/>
      <c r="AM168" s="1985"/>
      <c r="AN168" s="1324"/>
      <c r="AO168" s="1324"/>
      <c r="AP168" s="1324"/>
      <c r="AQ168" s="1324"/>
      <c r="AR168" s="1324"/>
      <c r="AS168" s="1324"/>
      <c r="AT168" s="1324"/>
      <c r="AU168" s="1325"/>
      <c r="AV168" s="1327"/>
    </row>
    <row r="169" spans="1:48">
      <c r="A169" s="1946"/>
      <c r="B169" s="1946"/>
      <c r="C169" s="1959">
        <v>365</v>
      </c>
      <c r="D169" s="1964">
        <v>371.01</v>
      </c>
      <c r="E169" s="1967">
        <v>377.01</v>
      </c>
      <c r="F169" s="1959">
        <v>383.02</v>
      </c>
      <c r="G169" s="1964"/>
      <c r="H169" s="1959"/>
      <c r="I169" s="1964"/>
      <c r="J169" s="1967"/>
      <c r="K169" s="1983"/>
      <c r="L169" s="1964"/>
      <c r="M169" s="1964"/>
      <c r="N169" s="1985"/>
      <c r="O169" s="1985"/>
      <c r="P169" s="1985"/>
      <c r="Q169" s="1324"/>
      <c r="R169" s="1324"/>
      <c r="S169" s="1324"/>
      <c r="T169" s="1324"/>
      <c r="U169" s="1324"/>
      <c r="V169" s="1324"/>
      <c r="W169" s="1325"/>
      <c r="X169" s="1326">
        <v>165</v>
      </c>
      <c r="Y169" s="1982"/>
      <c r="Z169" s="1964"/>
      <c r="AA169" s="1959">
        <v>223.32</v>
      </c>
      <c r="AB169" s="1964">
        <v>227.56</v>
      </c>
      <c r="AC169" s="1967">
        <v>231.8</v>
      </c>
      <c r="AD169" s="1959">
        <v>236.04</v>
      </c>
      <c r="AE169" s="1959"/>
      <c r="AF169" s="1959"/>
      <c r="AG169" s="1964"/>
      <c r="AH169" s="1967"/>
      <c r="AI169" s="1983"/>
      <c r="AJ169" s="1984"/>
      <c r="AK169" s="1985"/>
      <c r="AL169" s="1985"/>
      <c r="AM169" s="1985"/>
      <c r="AN169" s="1324"/>
      <c r="AO169" s="1324"/>
      <c r="AP169" s="1324"/>
      <c r="AQ169" s="1324"/>
      <c r="AR169" s="1324"/>
      <c r="AS169" s="1324"/>
      <c r="AT169" s="1324"/>
      <c r="AU169" s="1325"/>
      <c r="AV169" s="1327"/>
    </row>
    <row r="170" spans="1:48">
      <c r="A170" s="1946"/>
      <c r="B170" s="1946"/>
      <c r="C170" s="1959">
        <v>367.22</v>
      </c>
      <c r="D170" s="1964">
        <v>373.27</v>
      </c>
      <c r="E170" s="1967">
        <v>379.31</v>
      </c>
      <c r="F170" s="1959">
        <v>385.35</v>
      </c>
      <c r="G170" s="1964"/>
      <c r="H170" s="1959"/>
      <c r="I170" s="1964"/>
      <c r="J170" s="1967"/>
      <c r="K170" s="1983"/>
      <c r="L170" s="1964"/>
      <c r="M170" s="1964"/>
      <c r="N170" s="1985"/>
      <c r="O170" s="1985"/>
      <c r="P170" s="1985"/>
      <c r="Q170" s="1324"/>
      <c r="R170" s="1324"/>
      <c r="S170" s="1324"/>
      <c r="T170" s="1324"/>
      <c r="U170" s="1324"/>
      <c r="V170" s="1324"/>
      <c r="W170" s="1325"/>
      <c r="X170" s="1326">
        <v>166</v>
      </c>
      <c r="Y170" s="1982"/>
      <c r="Z170" s="1964"/>
      <c r="AA170" s="1959">
        <v>224.67</v>
      </c>
      <c r="AB170" s="1964">
        <v>228.94</v>
      </c>
      <c r="AC170" s="1967">
        <v>233.21</v>
      </c>
      <c r="AD170" s="1959">
        <v>237.47</v>
      </c>
      <c r="AE170" s="1959"/>
      <c r="AF170" s="1959"/>
      <c r="AG170" s="1964"/>
      <c r="AH170" s="1967"/>
      <c r="AI170" s="1983"/>
      <c r="AJ170" s="1984"/>
      <c r="AK170" s="1985"/>
      <c r="AL170" s="1985"/>
      <c r="AM170" s="1985"/>
      <c r="AN170" s="1324"/>
      <c r="AO170" s="1324"/>
      <c r="AP170" s="1324"/>
      <c r="AQ170" s="1324"/>
      <c r="AR170" s="1324"/>
      <c r="AS170" s="1324"/>
      <c r="AT170" s="1324"/>
      <c r="AU170" s="1325"/>
      <c r="AV170" s="1327"/>
    </row>
    <row r="171" spans="1:48">
      <c r="A171" s="1946"/>
      <c r="B171" s="1946"/>
      <c r="C171" s="1959">
        <v>369.45</v>
      </c>
      <c r="D171" s="1964">
        <v>375.53</v>
      </c>
      <c r="E171" s="1967">
        <v>381.61</v>
      </c>
      <c r="F171" s="1959">
        <v>387.69</v>
      </c>
      <c r="G171" s="1964"/>
      <c r="H171" s="1959"/>
      <c r="I171" s="1964"/>
      <c r="J171" s="1967"/>
      <c r="K171" s="1983"/>
      <c r="L171" s="1964"/>
      <c r="M171" s="1964"/>
      <c r="N171" s="1985"/>
      <c r="O171" s="1985"/>
      <c r="P171" s="1985"/>
      <c r="Q171" s="1324"/>
      <c r="R171" s="1324"/>
      <c r="S171" s="1324"/>
      <c r="T171" s="1324"/>
      <c r="U171" s="1324"/>
      <c r="V171" s="1324"/>
      <c r="W171" s="1325"/>
      <c r="X171" s="1326">
        <v>167</v>
      </c>
      <c r="Y171" s="1982"/>
      <c r="Z171" s="1964"/>
      <c r="AA171" s="1959">
        <v>226.03</v>
      </c>
      <c r="AB171" s="1964">
        <v>230.32</v>
      </c>
      <c r="AC171" s="1967">
        <v>234.62</v>
      </c>
      <c r="AD171" s="1959">
        <v>238.91</v>
      </c>
      <c r="AE171" s="1959"/>
      <c r="AF171" s="1959"/>
      <c r="AG171" s="1964"/>
      <c r="AH171" s="1967"/>
      <c r="AI171" s="1983"/>
      <c r="AJ171" s="1984"/>
      <c r="AK171" s="1985"/>
      <c r="AL171" s="1985"/>
      <c r="AM171" s="1985"/>
      <c r="AN171" s="1324"/>
      <c r="AO171" s="1324"/>
      <c r="AP171" s="1324"/>
      <c r="AQ171" s="1324"/>
      <c r="AR171" s="1324"/>
      <c r="AS171" s="1324"/>
      <c r="AT171" s="1324"/>
      <c r="AU171" s="1325"/>
      <c r="AV171" s="1327"/>
    </row>
    <row r="172" spans="1:48">
      <c r="A172" s="1945"/>
      <c r="B172" s="1946"/>
      <c r="C172" s="1959">
        <v>371.68</v>
      </c>
      <c r="D172" s="1964">
        <v>377.8</v>
      </c>
      <c r="E172" s="1967">
        <v>383.91</v>
      </c>
      <c r="F172" s="1959">
        <v>390.03</v>
      </c>
      <c r="G172" s="1964"/>
      <c r="H172" s="1959"/>
      <c r="I172" s="1964"/>
      <c r="J172" s="1967"/>
      <c r="K172" s="1983"/>
      <c r="L172" s="1964"/>
      <c r="M172" s="1964"/>
      <c r="N172" s="1985"/>
      <c r="O172" s="1985"/>
      <c r="P172" s="1985"/>
      <c r="Q172" s="1324"/>
      <c r="R172" s="1324"/>
      <c r="S172" s="1324"/>
      <c r="T172" s="1324"/>
      <c r="U172" s="1324"/>
      <c r="V172" s="1324"/>
      <c r="W172" s="1325"/>
      <c r="X172" s="1326">
        <v>168</v>
      </c>
      <c r="Y172" s="1982"/>
      <c r="Z172" s="1964"/>
      <c r="AA172" s="1959">
        <v>227.39</v>
      </c>
      <c r="AB172" s="1964">
        <v>231.71</v>
      </c>
      <c r="AC172" s="1967">
        <v>236.03</v>
      </c>
      <c r="AD172" s="1959">
        <v>240.34</v>
      </c>
      <c r="AE172" s="1959"/>
      <c r="AF172" s="1959"/>
      <c r="AG172" s="1964"/>
      <c r="AH172" s="1967"/>
      <c r="AI172" s="1983"/>
      <c r="AJ172" s="1984"/>
      <c r="AK172" s="1985"/>
      <c r="AL172" s="1985"/>
      <c r="AM172" s="1985"/>
      <c r="AN172" s="1324"/>
      <c r="AO172" s="1324"/>
      <c r="AP172" s="1324"/>
      <c r="AQ172" s="1324"/>
      <c r="AR172" s="1324"/>
      <c r="AS172" s="1324"/>
      <c r="AT172" s="1324"/>
      <c r="AU172" s="1325"/>
      <c r="AV172" s="1327"/>
    </row>
    <row r="173" spans="1:48">
      <c r="A173" s="1946"/>
      <c r="B173" s="1946"/>
      <c r="C173" s="1959">
        <v>373.44</v>
      </c>
      <c r="D173" s="1964">
        <v>379.59</v>
      </c>
      <c r="E173" s="1967">
        <v>385.75</v>
      </c>
      <c r="F173" s="1959">
        <v>391.9</v>
      </c>
      <c r="G173" s="1964"/>
      <c r="H173" s="1959"/>
      <c r="I173" s="1964"/>
      <c r="J173" s="1967"/>
      <c r="K173" s="1983"/>
      <c r="L173" s="1964"/>
      <c r="M173" s="1964"/>
      <c r="N173" s="1985"/>
      <c r="O173" s="1985"/>
      <c r="P173" s="1985"/>
      <c r="Q173" s="1324"/>
      <c r="R173" s="1324"/>
      <c r="S173" s="1324"/>
      <c r="T173" s="1324"/>
      <c r="U173" s="1324"/>
      <c r="V173" s="1324"/>
      <c r="W173" s="1325"/>
      <c r="X173" s="1326">
        <v>169</v>
      </c>
      <c r="Y173" s="1982"/>
      <c r="Z173" s="1964"/>
      <c r="AA173" s="1959">
        <v>228.75</v>
      </c>
      <c r="AB173" s="1964">
        <v>233.1</v>
      </c>
      <c r="AC173" s="1967">
        <v>237.44</v>
      </c>
      <c r="AD173" s="1959">
        <v>241.78</v>
      </c>
      <c r="AE173" s="1959"/>
      <c r="AF173" s="1959"/>
      <c r="AG173" s="1964"/>
      <c r="AH173" s="1967"/>
      <c r="AI173" s="1983"/>
      <c r="AJ173" s="1984"/>
      <c r="AK173" s="1985"/>
      <c r="AL173" s="1985"/>
      <c r="AM173" s="1985"/>
      <c r="AN173" s="1324"/>
      <c r="AO173" s="1324"/>
      <c r="AP173" s="1324"/>
      <c r="AQ173" s="1324"/>
      <c r="AR173" s="1324"/>
      <c r="AS173" s="1324"/>
      <c r="AT173" s="1324"/>
      <c r="AU173" s="1325"/>
      <c r="AV173" s="1327"/>
    </row>
    <row r="174" spans="1:48">
      <c r="A174" s="1946"/>
      <c r="B174" s="1945"/>
      <c r="C174" s="1959">
        <v>375.68</v>
      </c>
      <c r="D174" s="1964">
        <v>381.87</v>
      </c>
      <c r="E174" s="1967">
        <v>388.06</v>
      </c>
      <c r="F174" s="1959">
        <v>394.25</v>
      </c>
      <c r="G174" s="1964"/>
      <c r="H174" s="1959"/>
      <c r="I174" s="1964"/>
      <c r="J174" s="1967"/>
      <c r="K174" s="1983"/>
      <c r="L174" s="1964"/>
      <c r="M174" s="1964"/>
      <c r="N174" s="1985"/>
      <c r="O174" s="1985"/>
      <c r="P174" s="1985"/>
      <c r="Q174" s="1324"/>
      <c r="R174" s="1324"/>
      <c r="S174" s="1324"/>
      <c r="T174" s="1324"/>
      <c r="U174" s="1324"/>
      <c r="V174" s="1324"/>
      <c r="W174" s="1325"/>
      <c r="X174" s="1326">
        <v>170</v>
      </c>
      <c r="Y174" s="1982"/>
      <c r="Z174" s="1964"/>
      <c r="AA174" s="1959">
        <v>230.12</v>
      </c>
      <c r="AB174" s="1964">
        <v>234.49</v>
      </c>
      <c r="AC174" s="1967">
        <v>238.85</v>
      </c>
      <c r="AD174" s="1959">
        <v>243.22</v>
      </c>
      <c r="AE174" s="1959"/>
      <c r="AF174" s="1959"/>
      <c r="AG174" s="1964"/>
      <c r="AH174" s="1967"/>
      <c r="AI174" s="1983"/>
      <c r="AJ174" s="1984"/>
      <c r="AK174" s="1985"/>
      <c r="AL174" s="1985"/>
      <c r="AM174" s="1985"/>
      <c r="AN174" s="1324"/>
      <c r="AO174" s="1324"/>
      <c r="AP174" s="1324"/>
      <c r="AQ174" s="1324"/>
      <c r="AR174" s="1324"/>
      <c r="AS174" s="1324"/>
      <c r="AT174" s="1324"/>
      <c r="AU174" s="1325"/>
      <c r="AV174" s="1327"/>
    </row>
    <row r="175" spans="1:48">
      <c r="A175" s="1945"/>
      <c r="B175" s="1945"/>
      <c r="C175" s="1959">
        <v>377.93</v>
      </c>
      <c r="D175" s="1964">
        <v>384.15</v>
      </c>
      <c r="E175" s="1967">
        <v>390.37</v>
      </c>
      <c r="F175" s="1959">
        <v>396.6</v>
      </c>
      <c r="G175" s="1964"/>
      <c r="H175" s="1959"/>
      <c r="I175" s="1964"/>
      <c r="J175" s="1967"/>
      <c r="K175" s="1983"/>
      <c r="L175" s="1964"/>
      <c r="M175" s="1964"/>
      <c r="N175" s="1985"/>
      <c r="O175" s="1985"/>
      <c r="P175" s="1985"/>
      <c r="Q175" s="1324"/>
      <c r="R175" s="1324"/>
      <c r="S175" s="1324"/>
      <c r="T175" s="1324"/>
      <c r="U175" s="1324"/>
      <c r="V175" s="1324"/>
      <c r="W175" s="1325"/>
      <c r="X175" s="1326">
        <v>171</v>
      </c>
      <c r="Y175" s="1982"/>
      <c r="Z175" s="1964"/>
      <c r="AA175" s="1959">
        <v>231.48</v>
      </c>
      <c r="AB175" s="1964">
        <v>235.88</v>
      </c>
      <c r="AC175" s="1967">
        <v>240.27</v>
      </c>
      <c r="AD175" s="1959">
        <v>244.67</v>
      </c>
      <c r="AE175" s="1959"/>
      <c r="AF175" s="1959"/>
      <c r="AG175" s="1964"/>
      <c r="AH175" s="1967"/>
      <c r="AI175" s="1983"/>
      <c r="AJ175" s="1984"/>
      <c r="AK175" s="1985"/>
      <c r="AL175" s="1985"/>
      <c r="AM175" s="1985"/>
      <c r="AN175" s="1324"/>
      <c r="AO175" s="1324"/>
      <c r="AP175" s="1324"/>
      <c r="AQ175" s="1324"/>
      <c r="AR175" s="1324"/>
      <c r="AS175" s="1324"/>
      <c r="AT175" s="1324"/>
      <c r="AU175" s="1325"/>
      <c r="AV175" s="1327"/>
    </row>
    <row r="176" spans="1:48">
      <c r="A176" s="1945"/>
      <c r="B176" s="1946"/>
      <c r="C176" s="1959">
        <v>380.18</v>
      </c>
      <c r="D176" s="1964">
        <v>386.44</v>
      </c>
      <c r="E176" s="1967">
        <v>392.7</v>
      </c>
      <c r="F176" s="1959">
        <v>398.96</v>
      </c>
      <c r="G176" s="1964"/>
      <c r="H176" s="1959"/>
      <c r="I176" s="1964"/>
      <c r="J176" s="1967"/>
      <c r="K176" s="1986"/>
      <c r="L176" s="1964"/>
      <c r="M176" s="1964"/>
      <c r="N176" s="1985"/>
      <c r="O176" s="1985"/>
      <c r="P176" s="1985"/>
      <c r="Q176" s="1324"/>
      <c r="R176" s="1324"/>
      <c r="S176" s="1324"/>
      <c r="T176" s="1324"/>
      <c r="U176" s="1324"/>
      <c r="V176" s="1324"/>
      <c r="W176" s="1325"/>
      <c r="X176" s="1326">
        <v>172</v>
      </c>
      <c r="Y176" s="1982"/>
      <c r="Z176" s="1964"/>
      <c r="AA176" s="1959">
        <v>232.85</v>
      </c>
      <c r="AB176" s="1964">
        <v>237.27</v>
      </c>
      <c r="AC176" s="1967">
        <v>241.69</v>
      </c>
      <c r="AD176" s="1959">
        <v>246.11</v>
      </c>
      <c r="AE176" s="1959"/>
      <c r="AF176" s="1959"/>
      <c r="AG176" s="1964"/>
      <c r="AH176" s="1967"/>
      <c r="AI176" s="1983"/>
      <c r="AJ176" s="1984"/>
      <c r="AK176" s="1985"/>
      <c r="AL176" s="1985"/>
      <c r="AM176" s="1985"/>
      <c r="AN176" s="1324"/>
      <c r="AO176" s="1324"/>
      <c r="AP176" s="1324"/>
      <c r="AQ176" s="1324"/>
      <c r="AR176" s="1324"/>
      <c r="AS176" s="1324"/>
      <c r="AT176" s="1324"/>
      <c r="AU176" s="1325"/>
      <c r="AV176" s="1327"/>
    </row>
    <row r="177" spans="1:48">
      <c r="A177" s="1945"/>
      <c r="B177" s="1945"/>
      <c r="C177" s="1959">
        <v>382.43</v>
      </c>
      <c r="D177" s="1964">
        <v>388.73</v>
      </c>
      <c r="E177" s="1967">
        <v>395.03</v>
      </c>
      <c r="F177" s="1959">
        <v>401.32</v>
      </c>
      <c r="G177" s="1964"/>
      <c r="H177" s="1959"/>
      <c r="I177" s="1964"/>
      <c r="J177" s="1967"/>
      <c r="K177" s="1983"/>
      <c r="L177" s="1964"/>
      <c r="M177" s="1964"/>
      <c r="N177" s="1985"/>
      <c r="O177" s="1985"/>
      <c r="P177" s="1985"/>
      <c r="Q177" s="1324"/>
      <c r="R177" s="1324"/>
      <c r="S177" s="1324"/>
      <c r="T177" s="1324"/>
      <c r="U177" s="1324"/>
      <c r="V177" s="1324"/>
      <c r="W177" s="1325"/>
      <c r="X177" s="1326">
        <v>173</v>
      </c>
      <c r="Y177" s="1982"/>
      <c r="Z177" s="1964"/>
      <c r="AA177" s="1959">
        <v>234.08</v>
      </c>
      <c r="AB177" s="1964">
        <v>238.53</v>
      </c>
      <c r="AC177" s="1967">
        <v>242.98</v>
      </c>
      <c r="AD177" s="1959">
        <v>247.42</v>
      </c>
      <c r="AE177" s="1959"/>
      <c r="AF177" s="1959"/>
      <c r="AG177" s="1964"/>
      <c r="AH177" s="1967"/>
      <c r="AI177" s="1983"/>
      <c r="AJ177" s="1984"/>
      <c r="AK177" s="1985"/>
      <c r="AL177" s="1985"/>
      <c r="AM177" s="1985"/>
      <c r="AN177" s="1324"/>
      <c r="AO177" s="1324"/>
      <c r="AP177" s="1324"/>
      <c r="AQ177" s="1324"/>
      <c r="AR177" s="1324"/>
      <c r="AS177" s="1324"/>
      <c r="AT177" s="1324"/>
      <c r="AU177" s="1325"/>
      <c r="AV177" s="1327"/>
    </row>
    <row r="178" spans="1:48">
      <c r="A178" s="1946"/>
      <c r="B178" s="1946"/>
      <c r="C178" s="1959">
        <v>384.69</v>
      </c>
      <c r="D178" s="1964">
        <v>391.03</v>
      </c>
      <c r="E178" s="1967">
        <v>397.36</v>
      </c>
      <c r="F178" s="1959">
        <v>403.69</v>
      </c>
      <c r="G178" s="1964"/>
      <c r="H178" s="1959"/>
      <c r="I178" s="1964"/>
      <c r="J178" s="1967"/>
      <c r="K178" s="1983"/>
      <c r="L178" s="1964"/>
      <c r="M178" s="1964"/>
      <c r="N178" s="1985"/>
      <c r="O178" s="1985"/>
      <c r="P178" s="1985"/>
      <c r="Q178" s="1324"/>
      <c r="R178" s="1324"/>
      <c r="S178" s="1324"/>
      <c r="T178" s="1324"/>
      <c r="U178" s="1324"/>
      <c r="V178" s="1324"/>
      <c r="W178" s="1325"/>
      <c r="X178" s="1326">
        <v>174</v>
      </c>
      <c r="Y178" s="1982"/>
      <c r="Z178" s="1964"/>
      <c r="AA178" s="1959">
        <v>235.45</v>
      </c>
      <c r="AB178" s="1964">
        <v>239.92</v>
      </c>
      <c r="AC178" s="1967">
        <v>244.4</v>
      </c>
      <c r="AD178" s="1959">
        <v>248.87</v>
      </c>
      <c r="AE178" s="1959"/>
      <c r="AF178" s="1959"/>
      <c r="AG178" s="1964"/>
      <c r="AH178" s="1967"/>
      <c r="AI178" s="1983"/>
      <c r="AJ178" s="1984"/>
      <c r="AK178" s="1985"/>
      <c r="AL178" s="1985"/>
      <c r="AM178" s="1985"/>
      <c r="AN178" s="1324"/>
      <c r="AO178" s="1324"/>
      <c r="AP178" s="1324"/>
      <c r="AQ178" s="1324"/>
      <c r="AR178" s="1324"/>
      <c r="AS178" s="1324"/>
      <c r="AT178" s="1324"/>
      <c r="AU178" s="1325"/>
      <c r="AV178" s="1327"/>
    </row>
    <row r="179" spans="1:48">
      <c r="A179" s="1945"/>
      <c r="B179" s="1945"/>
      <c r="C179" s="1959">
        <v>386.96</v>
      </c>
      <c r="D179" s="1964">
        <v>393.33</v>
      </c>
      <c r="E179" s="1967">
        <v>399.7</v>
      </c>
      <c r="F179" s="1959">
        <v>406.07</v>
      </c>
      <c r="G179" s="1964"/>
      <c r="H179" s="1959"/>
      <c r="I179" s="1964"/>
      <c r="J179" s="1967"/>
      <c r="K179" s="1983"/>
      <c r="L179" s="1964"/>
      <c r="M179" s="1964"/>
      <c r="N179" s="1985"/>
      <c r="O179" s="1985"/>
      <c r="P179" s="1985"/>
      <c r="Q179" s="1324"/>
      <c r="R179" s="1324"/>
      <c r="S179" s="1324"/>
      <c r="T179" s="1324"/>
      <c r="U179" s="1324"/>
      <c r="V179" s="1324"/>
      <c r="W179" s="1325"/>
      <c r="X179" s="1326">
        <v>175</v>
      </c>
      <c r="Y179" s="1982"/>
      <c r="Z179" s="1964"/>
      <c r="AA179" s="1959">
        <v>236.82</v>
      </c>
      <c r="AB179" s="1964">
        <v>241.32</v>
      </c>
      <c r="AC179" s="1967">
        <v>245.82</v>
      </c>
      <c r="AD179" s="1959">
        <v>250.32</v>
      </c>
      <c r="AE179" s="1959"/>
      <c r="AF179" s="1959"/>
      <c r="AG179" s="1964"/>
      <c r="AH179" s="1967"/>
      <c r="AI179" s="1983"/>
      <c r="AJ179" s="1984"/>
      <c r="AK179" s="1985"/>
      <c r="AL179" s="1985"/>
      <c r="AM179" s="1985"/>
      <c r="AN179" s="1324"/>
      <c r="AO179" s="1324"/>
      <c r="AP179" s="1324"/>
      <c r="AQ179" s="1324"/>
      <c r="AR179" s="1324"/>
      <c r="AS179" s="1324"/>
      <c r="AT179" s="1324"/>
      <c r="AU179" s="1325"/>
      <c r="AV179" s="1327"/>
    </row>
    <row r="180" spans="1:48">
      <c r="A180" s="1945"/>
      <c r="B180" s="1945"/>
      <c r="C180" s="1959">
        <v>389.24</v>
      </c>
      <c r="D180" s="1964">
        <v>395.65</v>
      </c>
      <c r="E180" s="1967">
        <v>402.05</v>
      </c>
      <c r="F180" s="1959">
        <v>408.46</v>
      </c>
      <c r="G180" s="1964"/>
      <c r="H180" s="1959"/>
      <c r="I180" s="1964"/>
      <c r="J180" s="1967"/>
      <c r="K180" s="1983"/>
      <c r="L180" s="1964"/>
      <c r="M180" s="1964"/>
      <c r="N180" s="1985"/>
      <c r="O180" s="1985"/>
      <c r="P180" s="1985"/>
      <c r="Q180" s="1324"/>
      <c r="R180" s="1324"/>
      <c r="S180" s="1324"/>
      <c r="T180" s="1324"/>
      <c r="U180" s="1324"/>
      <c r="V180" s="1324"/>
      <c r="W180" s="1325"/>
      <c r="X180" s="1326">
        <v>176</v>
      </c>
      <c r="Y180" s="1982"/>
      <c r="Z180" s="1964"/>
      <c r="AA180" s="1959">
        <v>238.19</v>
      </c>
      <c r="AB180" s="1964">
        <v>242.72</v>
      </c>
      <c r="AC180" s="1967">
        <v>247.24</v>
      </c>
      <c r="AD180" s="1959">
        <v>251.76</v>
      </c>
      <c r="AE180" s="1959"/>
      <c r="AF180" s="1959"/>
      <c r="AG180" s="1964"/>
      <c r="AH180" s="1967"/>
      <c r="AI180" s="1983"/>
      <c r="AJ180" s="1984"/>
      <c r="AK180" s="1985"/>
      <c r="AL180" s="1985"/>
      <c r="AM180" s="1985"/>
      <c r="AN180" s="1324"/>
      <c r="AO180" s="1324"/>
      <c r="AP180" s="1324"/>
      <c r="AQ180" s="1324"/>
      <c r="AR180" s="1324"/>
      <c r="AS180" s="1324"/>
      <c r="AT180" s="1324"/>
      <c r="AU180" s="1325"/>
      <c r="AV180" s="1327"/>
    </row>
    <row r="181" spans="1:48">
      <c r="A181" s="1945"/>
      <c r="B181" s="1945"/>
      <c r="C181" s="1959">
        <v>391.52</v>
      </c>
      <c r="D181" s="1964">
        <v>397.96</v>
      </c>
      <c r="E181" s="1967">
        <v>404.41</v>
      </c>
      <c r="F181" s="1959">
        <v>410.85</v>
      </c>
      <c r="G181" s="1964"/>
      <c r="H181" s="1959"/>
      <c r="I181" s="1964"/>
      <c r="J181" s="1967"/>
      <c r="K181" s="1983"/>
      <c r="L181" s="1964"/>
      <c r="M181" s="1964"/>
      <c r="N181" s="1985"/>
      <c r="O181" s="1985"/>
      <c r="P181" s="1985"/>
      <c r="Q181" s="1324"/>
      <c r="R181" s="1324"/>
      <c r="S181" s="1324"/>
      <c r="T181" s="1324"/>
      <c r="U181" s="1324"/>
      <c r="V181" s="1324"/>
      <c r="W181" s="1325"/>
      <c r="X181" s="1326">
        <v>177</v>
      </c>
      <c r="Y181" s="1982"/>
      <c r="Z181" s="1964"/>
      <c r="AA181" s="1959">
        <v>239.57</v>
      </c>
      <c r="AB181" s="1964">
        <v>244.12</v>
      </c>
      <c r="AC181" s="1967">
        <v>248.67</v>
      </c>
      <c r="AD181" s="1959">
        <v>253.22</v>
      </c>
      <c r="AE181" s="1959"/>
      <c r="AF181" s="1959"/>
      <c r="AG181" s="1964"/>
      <c r="AH181" s="1967"/>
      <c r="AI181" s="1983"/>
      <c r="AJ181" s="1984"/>
      <c r="AK181" s="1985"/>
      <c r="AL181" s="1985"/>
      <c r="AM181" s="1985"/>
      <c r="AN181" s="1324"/>
      <c r="AO181" s="1324"/>
      <c r="AP181" s="1324"/>
      <c r="AQ181" s="1324"/>
      <c r="AR181" s="1324"/>
      <c r="AS181" s="1324"/>
      <c r="AT181" s="1324"/>
      <c r="AU181" s="1325"/>
      <c r="AV181" s="1327"/>
    </row>
    <row r="182" spans="1:48">
      <c r="A182" s="1945"/>
      <c r="B182" s="1945"/>
      <c r="C182" s="1959">
        <v>393.28</v>
      </c>
      <c r="D182" s="1964">
        <v>399.76</v>
      </c>
      <c r="E182" s="1967">
        <v>406.24</v>
      </c>
      <c r="F182" s="1959">
        <v>412.72</v>
      </c>
      <c r="G182" s="1964"/>
      <c r="H182" s="1959"/>
      <c r="I182" s="1964"/>
      <c r="J182" s="1967"/>
      <c r="K182" s="1983"/>
      <c r="L182" s="1964"/>
      <c r="M182" s="1964"/>
      <c r="N182" s="1985"/>
      <c r="O182" s="1985"/>
      <c r="P182" s="1985"/>
      <c r="Q182" s="1324"/>
      <c r="R182" s="1324"/>
      <c r="S182" s="1324"/>
      <c r="T182" s="1324"/>
      <c r="U182" s="1324"/>
      <c r="V182" s="1324"/>
      <c r="W182" s="1325"/>
      <c r="X182" s="1326">
        <v>178</v>
      </c>
      <c r="Y182" s="1982"/>
      <c r="Z182" s="1964"/>
      <c r="AA182" s="1959">
        <v>240.94</v>
      </c>
      <c r="AB182" s="1964">
        <v>245.52</v>
      </c>
      <c r="AC182" s="1967">
        <v>250.09</v>
      </c>
      <c r="AD182" s="1959">
        <v>254.67</v>
      </c>
      <c r="AE182" s="1959"/>
      <c r="AF182" s="1959"/>
      <c r="AG182" s="1964"/>
      <c r="AH182" s="1967"/>
      <c r="AI182" s="1983"/>
      <c r="AJ182" s="1984"/>
      <c r="AK182" s="1985"/>
      <c r="AL182" s="1985"/>
      <c r="AM182" s="1985"/>
      <c r="AN182" s="1324"/>
      <c r="AO182" s="1324"/>
      <c r="AP182" s="1324"/>
      <c r="AQ182" s="1324"/>
      <c r="AR182" s="1324"/>
      <c r="AS182" s="1324"/>
      <c r="AT182" s="1324"/>
      <c r="AU182" s="1325"/>
      <c r="AV182" s="1327"/>
    </row>
    <row r="183" spans="1:48">
      <c r="A183" s="1945"/>
      <c r="B183" s="1945"/>
      <c r="C183" s="1959">
        <v>395.57</v>
      </c>
      <c r="D183" s="1964">
        <v>402.09</v>
      </c>
      <c r="E183" s="1967">
        <v>408.6</v>
      </c>
      <c r="F183" s="1959">
        <v>415.12</v>
      </c>
      <c r="G183" s="1964"/>
      <c r="H183" s="1959"/>
      <c r="I183" s="1964"/>
      <c r="J183" s="1967"/>
      <c r="K183" s="1983"/>
      <c r="L183" s="1964"/>
      <c r="M183" s="1964"/>
      <c r="N183" s="1985"/>
      <c r="O183" s="1985"/>
      <c r="P183" s="1985"/>
      <c r="Q183" s="1324"/>
      <c r="R183" s="1324"/>
      <c r="S183" s="1324"/>
      <c r="T183" s="1324"/>
      <c r="U183" s="1324"/>
      <c r="V183" s="1324"/>
      <c r="W183" s="1325"/>
      <c r="X183" s="1326">
        <v>179</v>
      </c>
      <c r="Y183" s="1982"/>
      <c r="Z183" s="1964"/>
      <c r="AA183" s="1959">
        <v>242.18</v>
      </c>
      <c r="AB183" s="1964">
        <v>246.78</v>
      </c>
      <c r="AC183" s="1967">
        <v>251.38</v>
      </c>
      <c r="AD183" s="1959">
        <v>255.98</v>
      </c>
      <c r="AE183" s="1959"/>
      <c r="AF183" s="1959"/>
      <c r="AG183" s="1964"/>
      <c r="AH183" s="1967"/>
      <c r="AI183" s="1983"/>
      <c r="AJ183" s="1984"/>
      <c r="AK183" s="1985"/>
      <c r="AL183" s="1985"/>
      <c r="AM183" s="1985"/>
      <c r="AN183" s="1324"/>
      <c r="AO183" s="1324"/>
      <c r="AP183" s="1324"/>
      <c r="AQ183" s="1324"/>
      <c r="AR183" s="1324"/>
      <c r="AS183" s="1324"/>
      <c r="AT183" s="1324"/>
      <c r="AU183" s="1325"/>
      <c r="AV183" s="1327"/>
    </row>
    <row r="184" spans="1:48">
      <c r="A184" s="1945"/>
      <c r="B184" s="1946"/>
      <c r="C184" s="1959">
        <v>397.87</v>
      </c>
      <c r="D184" s="1964">
        <v>404.42</v>
      </c>
      <c r="E184" s="1967">
        <v>410.97</v>
      </c>
      <c r="F184" s="1959">
        <v>417.53</v>
      </c>
      <c r="G184" s="1964"/>
      <c r="H184" s="1959"/>
      <c r="I184" s="1964"/>
      <c r="J184" s="1967"/>
      <c r="K184" s="1983"/>
      <c r="L184" s="1964"/>
      <c r="M184" s="1964"/>
      <c r="N184" s="1985"/>
      <c r="O184" s="1985"/>
      <c r="P184" s="1985"/>
      <c r="Q184" s="1324"/>
      <c r="R184" s="1324"/>
      <c r="S184" s="1324"/>
      <c r="T184" s="1324"/>
      <c r="U184" s="1324"/>
      <c r="V184" s="1324"/>
      <c r="W184" s="1325"/>
      <c r="X184" s="1326">
        <v>180</v>
      </c>
      <c r="Y184" s="1982"/>
      <c r="Z184" s="1964"/>
      <c r="AA184" s="1959">
        <v>243.56</v>
      </c>
      <c r="AB184" s="1964">
        <v>248.18</v>
      </c>
      <c r="AC184" s="1967">
        <v>252.81</v>
      </c>
      <c r="AD184" s="1959">
        <v>257.44</v>
      </c>
      <c r="AE184" s="1959"/>
      <c r="AF184" s="1959"/>
      <c r="AG184" s="1964"/>
      <c r="AH184" s="1967"/>
      <c r="AI184" s="1983"/>
      <c r="AJ184" s="1984"/>
      <c r="AK184" s="1985"/>
      <c r="AL184" s="1985"/>
      <c r="AM184" s="1985"/>
      <c r="AN184" s="1324"/>
      <c r="AO184" s="1324"/>
      <c r="AP184" s="1324"/>
      <c r="AQ184" s="1324"/>
      <c r="AR184" s="1324"/>
      <c r="AS184" s="1324"/>
      <c r="AT184" s="1324"/>
      <c r="AU184" s="1325"/>
      <c r="AV184" s="1327"/>
    </row>
    <row r="185" spans="1:48">
      <c r="A185" s="1945"/>
      <c r="B185" s="1945"/>
      <c r="C185" s="1959">
        <v>400.17</v>
      </c>
      <c r="D185" s="1964">
        <v>406.76</v>
      </c>
      <c r="E185" s="1967">
        <v>413.35</v>
      </c>
      <c r="F185" s="1959">
        <v>419.94</v>
      </c>
      <c r="G185" s="1964"/>
      <c r="H185" s="1959"/>
      <c r="I185" s="1964"/>
      <c r="J185" s="1967"/>
      <c r="K185" s="1983"/>
      <c r="L185" s="1964"/>
      <c r="M185" s="1964"/>
      <c r="N185" s="1985"/>
      <c r="O185" s="1985"/>
      <c r="P185" s="1985"/>
      <c r="Q185" s="1324"/>
      <c r="R185" s="1324"/>
      <c r="S185" s="1324"/>
      <c r="T185" s="1324"/>
      <c r="U185" s="1324"/>
      <c r="V185" s="1324"/>
      <c r="W185" s="1325"/>
      <c r="X185" s="1326">
        <v>181</v>
      </c>
      <c r="Y185" s="1982"/>
      <c r="Z185" s="1964"/>
      <c r="AA185" s="1959">
        <v>244.94</v>
      </c>
      <c r="AB185" s="1964">
        <v>249.59</v>
      </c>
      <c r="AC185" s="1967">
        <v>254.24</v>
      </c>
      <c r="AD185" s="1959">
        <v>258.89</v>
      </c>
      <c r="AE185" s="1959"/>
      <c r="AF185" s="1959"/>
      <c r="AG185" s="1964"/>
      <c r="AH185" s="1967"/>
      <c r="AI185" s="1983"/>
      <c r="AJ185" s="1984"/>
      <c r="AK185" s="1985"/>
      <c r="AL185" s="1985"/>
      <c r="AM185" s="1985"/>
      <c r="AN185" s="1324"/>
      <c r="AO185" s="1324"/>
      <c r="AP185" s="1324"/>
      <c r="AQ185" s="1324"/>
      <c r="AR185" s="1324"/>
      <c r="AS185" s="1324"/>
      <c r="AT185" s="1324"/>
      <c r="AU185" s="1325"/>
      <c r="AV185" s="1327"/>
    </row>
    <row r="186" spans="1:48">
      <c r="A186" s="1945"/>
      <c r="B186" s="1946"/>
      <c r="C186" s="1959">
        <v>402.48</v>
      </c>
      <c r="D186" s="1964">
        <v>409.11</v>
      </c>
      <c r="E186" s="1967">
        <v>415.73</v>
      </c>
      <c r="F186" s="1959">
        <v>422.36</v>
      </c>
      <c r="G186" s="1964"/>
      <c r="H186" s="1959"/>
      <c r="I186" s="1964"/>
      <c r="J186" s="1967"/>
      <c r="K186" s="1983"/>
      <c r="L186" s="1964"/>
      <c r="M186" s="1964"/>
      <c r="N186" s="1985"/>
      <c r="O186" s="1985"/>
      <c r="P186" s="1985"/>
      <c r="Q186" s="1324"/>
      <c r="R186" s="1324"/>
      <c r="S186" s="1324"/>
      <c r="T186" s="1324"/>
      <c r="U186" s="1324"/>
      <c r="V186" s="1324"/>
      <c r="W186" s="1325"/>
      <c r="X186" s="1326">
        <v>182</v>
      </c>
      <c r="Y186" s="1982"/>
      <c r="Z186" s="1964"/>
      <c r="AA186" s="1959">
        <v>246.32</v>
      </c>
      <c r="AB186" s="1964">
        <v>251</v>
      </c>
      <c r="AC186" s="1967">
        <v>255.67</v>
      </c>
      <c r="AD186" s="1959">
        <v>260.35000000000002</v>
      </c>
      <c r="AE186" s="1959"/>
      <c r="AF186" s="1959"/>
      <c r="AG186" s="1964"/>
      <c r="AH186" s="1967"/>
      <c r="AI186" s="1983"/>
      <c r="AJ186" s="1984"/>
      <c r="AK186" s="1985"/>
      <c r="AL186" s="1985"/>
      <c r="AM186" s="1985"/>
      <c r="AN186" s="1324"/>
      <c r="AO186" s="1324"/>
      <c r="AP186" s="1324"/>
      <c r="AQ186" s="1324"/>
      <c r="AR186" s="1324"/>
      <c r="AS186" s="1324"/>
      <c r="AT186" s="1324"/>
      <c r="AU186" s="1325"/>
      <c r="AV186" s="1327"/>
    </row>
    <row r="187" spans="1:48">
      <c r="A187" s="1945"/>
      <c r="B187" s="1945"/>
      <c r="C187" s="1959">
        <v>404.8</v>
      </c>
      <c r="D187" s="1964">
        <v>411.46</v>
      </c>
      <c r="E187" s="1967">
        <v>418.13</v>
      </c>
      <c r="F187" s="1959">
        <v>424.79</v>
      </c>
      <c r="G187" s="1964"/>
      <c r="H187" s="1959"/>
      <c r="I187" s="1964"/>
      <c r="J187" s="1967"/>
      <c r="K187" s="1983"/>
      <c r="L187" s="1964"/>
      <c r="M187" s="1964"/>
      <c r="N187" s="1985"/>
      <c r="O187" s="1985"/>
      <c r="P187" s="1985"/>
      <c r="Q187" s="1324"/>
      <c r="R187" s="1324"/>
      <c r="S187" s="1324"/>
      <c r="T187" s="1324"/>
      <c r="U187" s="1324"/>
      <c r="V187" s="1324"/>
      <c r="W187" s="1325"/>
      <c r="X187" s="1326">
        <v>183</v>
      </c>
      <c r="Y187" s="1982"/>
      <c r="Z187" s="1964"/>
      <c r="AA187" s="1959">
        <v>247.7</v>
      </c>
      <c r="AB187" s="1964">
        <v>252.4</v>
      </c>
      <c r="AC187" s="1967">
        <v>257.11</v>
      </c>
      <c r="AD187" s="1959">
        <v>261.81</v>
      </c>
      <c r="AE187" s="1959"/>
      <c r="AF187" s="1959"/>
      <c r="AG187" s="1964"/>
      <c r="AH187" s="1967"/>
      <c r="AI187" s="1983"/>
      <c r="AJ187" s="1984"/>
      <c r="AK187" s="1985"/>
      <c r="AL187" s="1985"/>
      <c r="AM187" s="1985"/>
      <c r="AN187" s="1324"/>
      <c r="AO187" s="1324"/>
      <c r="AP187" s="1324"/>
      <c r="AQ187" s="1324"/>
      <c r="AR187" s="1324"/>
      <c r="AS187" s="1324"/>
      <c r="AT187" s="1324"/>
      <c r="AU187" s="1325"/>
      <c r="AV187" s="1327"/>
    </row>
    <row r="188" spans="1:48">
      <c r="A188" s="1945"/>
      <c r="B188" s="1945"/>
      <c r="C188" s="1959">
        <v>406.56</v>
      </c>
      <c r="D188" s="1964">
        <v>413.26</v>
      </c>
      <c r="E188" s="1967">
        <v>419.96</v>
      </c>
      <c r="F188" s="1959">
        <v>426.66</v>
      </c>
      <c r="G188" s="1964"/>
      <c r="H188" s="1959"/>
      <c r="I188" s="1964"/>
      <c r="J188" s="1967"/>
      <c r="K188" s="1983"/>
      <c r="L188" s="1964"/>
      <c r="M188" s="1964"/>
      <c r="N188" s="1985"/>
      <c r="O188" s="1985"/>
      <c r="P188" s="1985"/>
      <c r="Q188" s="1324"/>
      <c r="R188" s="1324"/>
      <c r="S188" s="1324"/>
      <c r="T188" s="1324"/>
      <c r="U188" s="1324"/>
      <c r="V188" s="1324"/>
      <c r="W188" s="1325"/>
      <c r="X188" s="1326">
        <v>184</v>
      </c>
      <c r="Y188" s="1982"/>
      <c r="Z188" s="1964"/>
      <c r="AA188" s="1959">
        <v>248.94</v>
      </c>
      <c r="AB188" s="1964">
        <v>253.67</v>
      </c>
      <c r="AC188" s="1967">
        <v>258.39999999999998</v>
      </c>
      <c r="AD188" s="1959">
        <v>263.12</v>
      </c>
      <c r="AE188" s="1959"/>
      <c r="AF188" s="1959"/>
      <c r="AG188" s="1964"/>
      <c r="AH188" s="1967"/>
      <c r="AI188" s="1983"/>
      <c r="AJ188" s="1984"/>
      <c r="AK188" s="1985"/>
      <c r="AL188" s="1985"/>
      <c r="AM188" s="1985"/>
      <c r="AN188" s="1324"/>
      <c r="AO188" s="1324"/>
      <c r="AP188" s="1324"/>
      <c r="AQ188" s="1324"/>
      <c r="AR188" s="1324"/>
      <c r="AS188" s="1324"/>
      <c r="AT188" s="1324"/>
      <c r="AU188" s="1325"/>
      <c r="AV188" s="1327"/>
    </row>
    <row r="189" spans="1:48">
      <c r="A189" s="1945"/>
      <c r="B189" s="1945"/>
      <c r="C189" s="1959">
        <v>408.89</v>
      </c>
      <c r="D189" s="1964">
        <v>415.62</v>
      </c>
      <c r="E189" s="1967">
        <v>422.36</v>
      </c>
      <c r="F189" s="1959">
        <v>429.09</v>
      </c>
      <c r="G189" s="1964"/>
      <c r="H189" s="1959"/>
      <c r="I189" s="1964"/>
      <c r="J189" s="1967"/>
      <c r="K189" s="1983"/>
      <c r="L189" s="1964"/>
      <c r="M189" s="1964"/>
      <c r="N189" s="1985"/>
      <c r="O189" s="1985"/>
      <c r="P189" s="1985"/>
      <c r="Q189" s="1324"/>
      <c r="R189" s="1324"/>
      <c r="S189" s="1324"/>
      <c r="T189" s="1324"/>
      <c r="U189" s="1324"/>
      <c r="V189" s="1324"/>
      <c r="W189" s="1325"/>
      <c r="X189" s="1326">
        <v>185</v>
      </c>
      <c r="Y189" s="1982"/>
      <c r="Z189" s="1964"/>
      <c r="AA189" s="1959">
        <v>250.32</v>
      </c>
      <c r="AB189" s="1964">
        <v>255.08</v>
      </c>
      <c r="AC189" s="1967">
        <v>259.83</v>
      </c>
      <c r="AD189" s="1959">
        <v>264.58999999999997</v>
      </c>
      <c r="AE189" s="1959"/>
      <c r="AF189" s="1959"/>
      <c r="AG189" s="1964"/>
      <c r="AH189" s="1967"/>
      <c r="AI189" s="1983"/>
      <c r="AJ189" s="1984"/>
      <c r="AK189" s="1985"/>
      <c r="AL189" s="1985"/>
      <c r="AM189" s="1985"/>
      <c r="AN189" s="1324"/>
      <c r="AO189" s="1324"/>
      <c r="AP189" s="1324"/>
      <c r="AQ189" s="1324"/>
      <c r="AR189" s="1324"/>
      <c r="AS189" s="1324"/>
      <c r="AT189" s="1324"/>
      <c r="AU189" s="1325"/>
      <c r="AV189" s="1327"/>
    </row>
    <row r="190" spans="1:48">
      <c r="A190" s="1945"/>
      <c r="B190" s="1945"/>
      <c r="C190" s="1959">
        <v>411.22</v>
      </c>
      <c r="D190" s="1964">
        <v>418</v>
      </c>
      <c r="E190" s="1967">
        <v>424.77</v>
      </c>
      <c r="F190" s="1959">
        <v>431.54</v>
      </c>
      <c r="G190" s="1964"/>
      <c r="H190" s="1959"/>
      <c r="I190" s="1964"/>
      <c r="J190" s="1967"/>
      <c r="K190" s="1983"/>
      <c r="L190" s="1964"/>
      <c r="M190" s="1964"/>
      <c r="N190" s="1985"/>
      <c r="O190" s="1985"/>
      <c r="P190" s="1985"/>
      <c r="Q190" s="1324"/>
      <c r="R190" s="1324"/>
      <c r="S190" s="1324"/>
      <c r="T190" s="1324"/>
      <c r="U190" s="1324"/>
      <c r="V190" s="1324"/>
      <c r="W190" s="1325"/>
      <c r="X190" s="1326">
        <v>186</v>
      </c>
      <c r="Y190" s="1982"/>
      <c r="Z190" s="1964"/>
      <c r="AA190" s="1959">
        <v>251.71</v>
      </c>
      <c r="AB190" s="1964">
        <v>256.49</v>
      </c>
      <c r="AC190" s="1967">
        <v>261.27</v>
      </c>
      <c r="AD190" s="1959">
        <v>266.05</v>
      </c>
      <c r="AE190" s="1959"/>
      <c r="AF190" s="1959"/>
      <c r="AG190" s="1964"/>
      <c r="AH190" s="1967"/>
      <c r="AI190" s="1983"/>
      <c r="AJ190" s="1984"/>
      <c r="AK190" s="1985"/>
      <c r="AL190" s="1985"/>
      <c r="AM190" s="1985"/>
      <c r="AN190" s="1324"/>
      <c r="AO190" s="1324"/>
      <c r="AP190" s="1324"/>
      <c r="AQ190" s="1324"/>
      <c r="AR190" s="1324"/>
      <c r="AS190" s="1324"/>
      <c r="AT190" s="1324"/>
      <c r="AU190" s="1325"/>
      <c r="AV190" s="1327"/>
    </row>
    <row r="191" spans="1:48">
      <c r="A191" s="1945"/>
      <c r="B191" s="1945"/>
      <c r="C191" s="1959">
        <v>413.57</v>
      </c>
      <c r="D191" s="1964">
        <v>420.37</v>
      </c>
      <c r="E191" s="1967">
        <v>427.18</v>
      </c>
      <c r="F191" s="1959">
        <v>433.99</v>
      </c>
      <c r="G191" s="1964"/>
      <c r="H191" s="1959"/>
      <c r="I191" s="1964"/>
      <c r="J191" s="1967"/>
      <c r="K191" s="1983"/>
      <c r="L191" s="1964"/>
      <c r="M191" s="1964"/>
      <c r="N191" s="1985"/>
      <c r="O191" s="1985"/>
      <c r="P191" s="1985"/>
      <c r="Q191" s="1324"/>
      <c r="R191" s="1324"/>
      <c r="S191" s="1324"/>
      <c r="T191" s="1324"/>
      <c r="U191" s="1324"/>
      <c r="V191" s="1324"/>
      <c r="W191" s="1325"/>
      <c r="X191" s="1326">
        <v>187</v>
      </c>
      <c r="Y191" s="1982"/>
      <c r="Z191" s="1964"/>
      <c r="AA191" s="1959">
        <v>253.1</v>
      </c>
      <c r="AB191" s="1964">
        <v>257.91000000000003</v>
      </c>
      <c r="AC191" s="1967">
        <v>262.70999999999998</v>
      </c>
      <c r="AD191" s="1959">
        <v>267.52</v>
      </c>
      <c r="AE191" s="1959"/>
      <c r="AF191" s="1959"/>
      <c r="AG191" s="1964"/>
      <c r="AH191" s="1967"/>
      <c r="AI191" s="1983"/>
      <c r="AJ191" s="1984"/>
      <c r="AK191" s="1985"/>
      <c r="AL191" s="1985"/>
      <c r="AM191" s="1985"/>
      <c r="AN191" s="1324"/>
      <c r="AO191" s="1324"/>
      <c r="AP191" s="1324"/>
      <c r="AQ191" s="1324"/>
      <c r="AR191" s="1324"/>
      <c r="AS191" s="1324"/>
      <c r="AT191" s="1324"/>
      <c r="AU191" s="1325"/>
      <c r="AV191" s="1327"/>
    </row>
    <row r="192" spans="1:48">
      <c r="A192" s="1945"/>
      <c r="B192" s="1945"/>
      <c r="C192" s="1959">
        <v>415.33</v>
      </c>
      <c r="D192" s="1964">
        <v>422.17</v>
      </c>
      <c r="E192" s="1967">
        <v>429.01</v>
      </c>
      <c r="F192" s="1959">
        <v>435.86</v>
      </c>
      <c r="G192" s="1964"/>
      <c r="H192" s="1959"/>
      <c r="I192" s="1964"/>
      <c r="J192" s="1967"/>
      <c r="K192" s="1983"/>
      <c r="L192" s="1964"/>
      <c r="M192" s="1964"/>
      <c r="N192" s="1985"/>
      <c r="O192" s="1985"/>
      <c r="P192" s="1985"/>
      <c r="Q192" s="1324"/>
      <c r="R192" s="1324"/>
      <c r="S192" s="1324"/>
      <c r="T192" s="1324"/>
      <c r="U192" s="1324"/>
      <c r="V192" s="1324"/>
      <c r="W192" s="1325"/>
      <c r="X192" s="1326">
        <v>188</v>
      </c>
      <c r="Y192" s="1982"/>
      <c r="Z192" s="1964"/>
      <c r="AA192" s="1959">
        <v>254.34</v>
      </c>
      <c r="AB192" s="1964">
        <v>259.17</v>
      </c>
      <c r="AC192" s="1967">
        <v>264</v>
      </c>
      <c r="AD192" s="1959">
        <v>268.83</v>
      </c>
      <c r="AE192" s="1959"/>
      <c r="AF192" s="1959"/>
      <c r="AG192" s="1964"/>
      <c r="AH192" s="1967"/>
      <c r="AI192" s="1983"/>
      <c r="AJ192" s="1984"/>
      <c r="AK192" s="1985"/>
      <c r="AL192" s="1985"/>
      <c r="AM192" s="1985"/>
      <c r="AN192" s="1324"/>
      <c r="AO192" s="1324"/>
      <c r="AP192" s="1324"/>
      <c r="AQ192" s="1324"/>
      <c r="AR192" s="1324"/>
      <c r="AS192" s="1324"/>
      <c r="AT192" s="1324"/>
      <c r="AU192" s="1325"/>
      <c r="AV192" s="1327"/>
    </row>
    <row r="193" spans="1:48">
      <c r="A193" s="1945"/>
      <c r="B193" s="1945"/>
      <c r="C193" s="1959">
        <v>417.68</v>
      </c>
      <c r="D193" s="1964">
        <v>424.56</v>
      </c>
      <c r="E193" s="1967">
        <v>431.44</v>
      </c>
      <c r="F193" s="1959">
        <v>438.32</v>
      </c>
      <c r="G193" s="1964"/>
      <c r="H193" s="1959"/>
      <c r="I193" s="1964"/>
      <c r="J193" s="1967"/>
      <c r="K193" s="1983"/>
      <c r="L193" s="1964"/>
      <c r="M193" s="1964"/>
      <c r="N193" s="1985"/>
      <c r="O193" s="1985"/>
      <c r="P193" s="1985"/>
      <c r="Q193" s="1324"/>
      <c r="R193" s="1324"/>
      <c r="S193" s="1324"/>
      <c r="T193" s="1324"/>
      <c r="U193" s="1324"/>
      <c r="V193" s="1324"/>
      <c r="W193" s="1325"/>
      <c r="X193" s="1326">
        <v>189</v>
      </c>
      <c r="Y193" s="1982"/>
      <c r="Z193" s="1964"/>
      <c r="AA193" s="1959">
        <v>255.73</v>
      </c>
      <c r="AB193" s="1964">
        <v>260.58999999999997</v>
      </c>
      <c r="AC193" s="1967">
        <v>265.44</v>
      </c>
      <c r="AD193" s="1959">
        <v>270.3</v>
      </c>
      <c r="AE193" s="1959"/>
      <c r="AF193" s="1959"/>
      <c r="AG193" s="1964"/>
      <c r="AH193" s="1967"/>
      <c r="AI193" s="1983"/>
      <c r="AJ193" s="1984"/>
      <c r="AK193" s="1985"/>
      <c r="AL193" s="1985"/>
      <c r="AM193" s="1985"/>
      <c r="AN193" s="1324"/>
      <c r="AO193" s="1324"/>
      <c r="AP193" s="1324"/>
      <c r="AQ193" s="1324"/>
      <c r="AR193" s="1324"/>
      <c r="AS193" s="1324"/>
      <c r="AT193" s="1324"/>
      <c r="AU193" s="1325"/>
      <c r="AV193" s="1327"/>
    </row>
    <row r="194" spans="1:48">
      <c r="A194" s="1945"/>
      <c r="B194" s="1945"/>
      <c r="C194" s="1959">
        <v>420.04</v>
      </c>
      <c r="D194" s="1964">
        <v>426.95</v>
      </c>
      <c r="E194" s="1967">
        <v>433.87</v>
      </c>
      <c r="F194" s="1959">
        <v>440.78</v>
      </c>
      <c r="G194" s="1964"/>
      <c r="H194" s="1959"/>
      <c r="I194" s="1964"/>
      <c r="J194" s="1967"/>
      <c r="K194" s="1983"/>
      <c r="L194" s="1964"/>
      <c r="M194" s="1964"/>
      <c r="N194" s="1985"/>
      <c r="O194" s="1985"/>
      <c r="P194" s="1985"/>
      <c r="Q194" s="1324"/>
      <c r="R194" s="1324"/>
      <c r="S194" s="1324"/>
      <c r="T194" s="1324"/>
      <c r="U194" s="1324"/>
      <c r="V194" s="1324"/>
      <c r="W194" s="1325"/>
      <c r="X194" s="1326">
        <v>190</v>
      </c>
      <c r="Y194" s="1982"/>
      <c r="Z194" s="1964"/>
      <c r="AA194" s="1959">
        <v>257.12</v>
      </c>
      <c r="AB194" s="1964">
        <v>262</v>
      </c>
      <c r="AC194" s="1967">
        <v>266.89</v>
      </c>
      <c r="AD194" s="1959">
        <v>271.77</v>
      </c>
      <c r="AE194" s="1959"/>
      <c r="AF194" s="1959"/>
      <c r="AG194" s="1964"/>
      <c r="AH194" s="1967"/>
      <c r="AI194" s="1983"/>
      <c r="AJ194" s="1984"/>
      <c r="AK194" s="1985"/>
      <c r="AL194" s="1985"/>
      <c r="AM194" s="1985"/>
      <c r="AN194" s="1324"/>
      <c r="AO194" s="1324"/>
      <c r="AP194" s="1324"/>
      <c r="AQ194" s="1324"/>
      <c r="AR194" s="1324"/>
      <c r="AS194" s="1324"/>
      <c r="AT194" s="1324"/>
      <c r="AU194" s="1325"/>
      <c r="AV194" s="1327"/>
    </row>
    <row r="195" spans="1:48">
      <c r="A195" s="1945"/>
      <c r="B195" s="1946"/>
      <c r="C195" s="1959">
        <v>422.4</v>
      </c>
      <c r="D195" s="1964">
        <v>429.36</v>
      </c>
      <c r="E195" s="1967">
        <v>431.31</v>
      </c>
      <c r="F195" s="1959">
        <v>443.26</v>
      </c>
      <c r="G195" s="1964"/>
      <c r="H195" s="1959"/>
      <c r="I195" s="1964"/>
      <c r="J195" s="1967"/>
      <c r="K195" s="1983"/>
      <c r="L195" s="1964"/>
      <c r="M195" s="1964"/>
      <c r="N195" s="1985"/>
      <c r="O195" s="1985"/>
      <c r="P195" s="1985"/>
      <c r="Q195" s="1324"/>
      <c r="R195" s="1324"/>
      <c r="S195" s="1324"/>
      <c r="T195" s="1324"/>
      <c r="U195" s="1324"/>
      <c r="V195" s="1324"/>
      <c r="W195" s="1325"/>
      <c r="X195" s="1326">
        <v>191</v>
      </c>
      <c r="Y195" s="1982"/>
      <c r="Z195" s="1964"/>
      <c r="AA195" s="1959">
        <v>258.52</v>
      </c>
      <c r="AB195" s="1964">
        <v>263.43</v>
      </c>
      <c r="AC195" s="1967">
        <v>268.33999999999997</v>
      </c>
      <c r="AD195" s="1959">
        <v>273.24</v>
      </c>
      <c r="AE195" s="1959"/>
      <c r="AF195" s="1959"/>
      <c r="AG195" s="1964"/>
      <c r="AH195" s="1967"/>
      <c r="AI195" s="1983"/>
      <c r="AJ195" s="1984"/>
      <c r="AK195" s="1985"/>
      <c r="AL195" s="1985"/>
      <c r="AM195" s="1985"/>
      <c r="AN195" s="1324"/>
      <c r="AO195" s="1324"/>
      <c r="AP195" s="1324"/>
      <c r="AQ195" s="1324"/>
      <c r="AR195" s="1324"/>
      <c r="AS195" s="1324"/>
      <c r="AT195" s="1324"/>
      <c r="AU195" s="1325"/>
      <c r="AV195" s="1327"/>
    </row>
    <row r="196" spans="1:48">
      <c r="A196" s="1945"/>
      <c r="B196" s="1945"/>
      <c r="C196" s="1959">
        <v>424.17</v>
      </c>
      <c r="D196" s="1964">
        <v>431.15</v>
      </c>
      <c r="E196" s="1967">
        <v>438.14</v>
      </c>
      <c r="F196" s="1959">
        <v>445.13</v>
      </c>
      <c r="G196" s="1964"/>
      <c r="H196" s="1959"/>
      <c r="I196" s="1964"/>
      <c r="J196" s="1967"/>
      <c r="K196" s="1983"/>
      <c r="L196" s="1964"/>
      <c r="M196" s="1964"/>
      <c r="N196" s="1985"/>
      <c r="O196" s="1985"/>
      <c r="P196" s="1985"/>
      <c r="Q196" s="1324"/>
      <c r="R196" s="1324"/>
      <c r="S196" s="1324"/>
      <c r="T196" s="1324"/>
      <c r="U196" s="1324"/>
      <c r="V196" s="1324"/>
      <c r="W196" s="1325"/>
      <c r="X196" s="1326">
        <v>192</v>
      </c>
      <c r="Y196" s="1982"/>
      <c r="Z196" s="1964"/>
      <c r="AA196" s="1959">
        <v>259.75</v>
      </c>
      <c r="AB196" s="1964">
        <v>264.69</v>
      </c>
      <c r="AC196" s="1967">
        <v>269.62</v>
      </c>
      <c r="AD196" s="1959">
        <v>274.56</v>
      </c>
      <c r="AE196" s="1959"/>
      <c r="AF196" s="1959"/>
      <c r="AG196" s="1964"/>
      <c r="AH196" s="1967"/>
      <c r="AI196" s="1983"/>
      <c r="AJ196" s="1984"/>
      <c r="AK196" s="1985"/>
      <c r="AL196" s="1985"/>
      <c r="AM196" s="1985"/>
      <c r="AN196" s="1324"/>
      <c r="AO196" s="1324"/>
      <c r="AP196" s="1324"/>
      <c r="AQ196" s="1324"/>
      <c r="AR196" s="1324"/>
      <c r="AS196" s="1324"/>
      <c r="AT196" s="1324"/>
      <c r="AU196" s="1325"/>
      <c r="AV196" s="1327"/>
    </row>
    <row r="197" spans="1:48">
      <c r="A197" s="1945"/>
      <c r="B197" s="1945"/>
      <c r="C197" s="1959">
        <v>426.54</v>
      </c>
      <c r="D197" s="1964">
        <v>433.57</v>
      </c>
      <c r="E197" s="1967">
        <v>440.59</v>
      </c>
      <c r="F197" s="1959">
        <v>447.63</v>
      </c>
      <c r="G197" s="1964"/>
      <c r="H197" s="1959"/>
      <c r="I197" s="1964"/>
      <c r="J197" s="1967"/>
      <c r="K197" s="1983"/>
      <c r="L197" s="1964"/>
      <c r="M197" s="1964"/>
      <c r="N197" s="1985"/>
      <c r="O197" s="1985"/>
      <c r="P197" s="1985"/>
      <c r="Q197" s="1324"/>
      <c r="R197" s="1324"/>
      <c r="S197" s="1324"/>
      <c r="T197" s="1324"/>
      <c r="U197" s="1324"/>
      <c r="V197" s="1324"/>
      <c r="W197" s="1325"/>
      <c r="X197" s="1326">
        <v>193</v>
      </c>
      <c r="Y197" s="1982"/>
      <c r="Z197" s="1964"/>
      <c r="AA197" s="1959">
        <v>261.14999999999998</v>
      </c>
      <c r="AB197" s="1964">
        <v>266.11</v>
      </c>
      <c r="AC197" s="1967">
        <v>271.07</v>
      </c>
      <c r="AD197" s="1959">
        <v>276.02999999999997</v>
      </c>
      <c r="AE197" s="1959"/>
      <c r="AF197" s="1959"/>
      <c r="AG197" s="1964"/>
      <c r="AH197" s="1967"/>
      <c r="AI197" s="1983"/>
      <c r="AJ197" s="1984"/>
      <c r="AK197" s="1985"/>
      <c r="AL197" s="1985"/>
      <c r="AM197" s="1985"/>
      <c r="AN197" s="1324"/>
      <c r="AO197" s="1324"/>
      <c r="AP197" s="1324"/>
      <c r="AQ197" s="1324"/>
      <c r="AR197" s="1324"/>
      <c r="AS197" s="1324"/>
      <c r="AT197" s="1324"/>
      <c r="AU197" s="1325"/>
      <c r="AV197" s="1327"/>
    </row>
    <row r="198" spans="1:48">
      <c r="A198" s="1945"/>
      <c r="B198" s="1945"/>
      <c r="C198" s="1959">
        <v>428.92</v>
      </c>
      <c r="D198" s="1964">
        <v>435.99</v>
      </c>
      <c r="E198" s="1967">
        <v>443.05</v>
      </c>
      <c r="F198" s="1959">
        <v>450.11</v>
      </c>
      <c r="G198" s="1964"/>
      <c r="H198" s="1959"/>
      <c r="I198" s="1964"/>
      <c r="J198" s="1967"/>
      <c r="K198" s="1983"/>
      <c r="L198" s="1964"/>
      <c r="M198" s="1964"/>
      <c r="N198" s="1985"/>
      <c r="O198" s="1985"/>
      <c r="P198" s="1985"/>
      <c r="Q198" s="1324"/>
      <c r="R198" s="1324"/>
      <c r="S198" s="1324"/>
      <c r="T198" s="1324"/>
      <c r="U198" s="1324"/>
      <c r="V198" s="1324"/>
      <c r="W198" s="1325"/>
      <c r="X198" s="1326">
        <v>194</v>
      </c>
      <c r="Y198" s="1982"/>
      <c r="Z198" s="1964"/>
      <c r="AA198" s="1959">
        <v>262.55</v>
      </c>
      <c r="AB198" s="1964">
        <v>267.54000000000002</v>
      </c>
      <c r="AC198" s="1967">
        <v>272.52999999999997</v>
      </c>
      <c r="AD198" s="1959">
        <v>277.51</v>
      </c>
      <c r="AE198" s="1959"/>
      <c r="AF198" s="1959"/>
      <c r="AG198" s="1964"/>
      <c r="AH198" s="1967"/>
      <c r="AI198" s="1983"/>
      <c r="AJ198" s="1984"/>
      <c r="AK198" s="1985"/>
      <c r="AL198" s="1985"/>
      <c r="AM198" s="1985"/>
      <c r="AN198" s="1324"/>
      <c r="AO198" s="1324"/>
      <c r="AP198" s="1324"/>
      <c r="AQ198" s="1324"/>
      <c r="AR198" s="1324"/>
      <c r="AS198" s="1324"/>
      <c r="AT198" s="1324"/>
      <c r="AU198" s="1325"/>
      <c r="AV198" s="1327"/>
    </row>
    <row r="199" spans="1:48">
      <c r="A199" s="1945"/>
      <c r="B199" s="1945"/>
      <c r="C199" s="1959">
        <v>431.32</v>
      </c>
      <c r="D199" s="1964">
        <v>438.42</v>
      </c>
      <c r="E199" s="1967">
        <v>445.51</v>
      </c>
      <c r="F199" s="1959">
        <v>452.61</v>
      </c>
      <c r="G199" s="1964"/>
      <c r="H199" s="1959"/>
      <c r="I199" s="1964"/>
      <c r="J199" s="1967"/>
      <c r="K199" s="1983"/>
      <c r="L199" s="1964"/>
      <c r="M199" s="1964"/>
      <c r="N199" s="1985"/>
      <c r="O199" s="1985"/>
      <c r="P199" s="1985"/>
      <c r="Q199" s="1324"/>
      <c r="R199" s="1324"/>
      <c r="S199" s="1324"/>
      <c r="T199" s="1324"/>
      <c r="U199" s="1324"/>
      <c r="V199" s="1324"/>
      <c r="W199" s="1325"/>
      <c r="X199" s="1326">
        <v>195</v>
      </c>
      <c r="Y199" s="1982"/>
      <c r="Z199" s="1964"/>
      <c r="AA199" s="1959">
        <v>263.79000000000002</v>
      </c>
      <c r="AB199" s="1964">
        <v>268.8</v>
      </c>
      <c r="AC199" s="1967">
        <v>273.81</v>
      </c>
      <c r="AD199" s="1959">
        <v>278.82</v>
      </c>
      <c r="AE199" s="1959"/>
      <c r="AF199" s="1959"/>
      <c r="AG199" s="1964"/>
      <c r="AH199" s="1967"/>
      <c r="AI199" s="1983"/>
      <c r="AJ199" s="1984"/>
      <c r="AK199" s="1985"/>
      <c r="AL199" s="1985"/>
      <c r="AM199" s="1985"/>
      <c r="AN199" s="1324"/>
      <c r="AO199" s="1324"/>
      <c r="AP199" s="1324"/>
      <c r="AQ199" s="1324"/>
      <c r="AR199" s="1324"/>
      <c r="AS199" s="1324"/>
      <c r="AT199" s="1324"/>
      <c r="AU199" s="1325"/>
      <c r="AV199" s="1327"/>
    </row>
    <row r="200" spans="1:48">
      <c r="A200" s="1945"/>
      <c r="B200" s="1945"/>
      <c r="C200" s="1959">
        <v>433.08</v>
      </c>
      <c r="D200" s="1964">
        <v>440.21</v>
      </c>
      <c r="E200" s="1967">
        <v>447.35</v>
      </c>
      <c r="F200" s="1959">
        <v>454.48</v>
      </c>
      <c r="G200" s="1964"/>
      <c r="H200" s="1959"/>
      <c r="I200" s="1964"/>
      <c r="J200" s="1967"/>
      <c r="K200" s="1983"/>
      <c r="L200" s="1964"/>
      <c r="M200" s="1964"/>
      <c r="N200" s="1985"/>
      <c r="O200" s="1985"/>
      <c r="P200" s="1985"/>
      <c r="Q200" s="1324"/>
      <c r="R200" s="1324"/>
      <c r="S200" s="1324"/>
      <c r="T200" s="1324"/>
      <c r="U200" s="1324"/>
      <c r="V200" s="1324"/>
      <c r="W200" s="1325"/>
      <c r="X200" s="1326">
        <v>196</v>
      </c>
      <c r="Y200" s="1982"/>
      <c r="Z200" s="1964"/>
      <c r="AA200" s="1959">
        <v>265.19</v>
      </c>
      <c r="AB200" s="1964">
        <v>270.23</v>
      </c>
      <c r="AC200" s="1967">
        <v>275.27</v>
      </c>
      <c r="AD200" s="1959">
        <v>280.31</v>
      </c>
      <c r="AE200" s="1959"/>
      <c r="AF200" s="1959"/>
      <c r="AG200" s="1964"/>
      <c r="AH200" s="1967"/>
      <c r="AI200" s="1983"/>
      <c r="AJ200" s="1984"/>
      <c r="AK200" s="1985"/>
      <c r="AL200" s="1985"/>
      <c r="AM200" s="1985"/>
      <c r="AN200" s="1324"/>
      <c r="AO200" s="1324"/>
      <c r="AP200" s="1324"/>
      <c r="AQ200" s="1324"/>
      <c r="AR200" s="1324"/>
      <c r="AS200" s="1324"/>
      <c r="AT200" s="1324"/>
      <c r="AU200" s="1325"/>
      <c r="AV200" s="1327"/>
    </row>
    <row r="201" spans="1:48">
      <c r="A201" s="1945"/>
      <c r="B201" s="1945"/>
      <c r="C201" s="1959">
        <v>435.48</v>
      </c>
      <c r="D201" s="1964">
        <v>442.65</v>
      </c>
      <c r="E201" s="1967">
        <v>449.82</v>
      </c>
      <c r="F201" s="1959">
        <v>456.99</v>
      </c>
      <c r="G201" s="1964"/>
      <c r="H201" s="1959"/>
      <c r="I201" s="1964"/>
      <c r="J201" s="1967"/>
      <c r="K201" s="1983"/>
      <c r="L201" s="1964"/>
      <c r="M201" s="1964"/>
      <c r="N201" s="1985"/>
      <c r="O201" s="1985"/>
      <c r="P201" s="1985"/>
      <c r="Q201" s="1324"/>
      <c r="R201" s="1324"/>
      <c r="S201" s="1324"/>
      <c r="T201" s="1324"/>
      <c r="U201" s="1324"/>
      <c r="V201" s="1324"/>
      <c r="W201" s="1325"/>
      <c r="X201" s="1326">
        <v>197</v>
      </c>
      <c r="Y201" s="1982"/>
      <c r="Z201" s="1964"/>
      <c r="AA201" s="1959">
        <v>266.60000000000002</v>
      </c>
      <c r="AB201" s="1964">
        <v>271.66000000000003</v>
      </c>
      <c r="AC201" s="1967">
        <v>276.73</v>
      </c>
      <c r="AD201" s="1959">
        <v>281.79000000000002</v>
      </c>
      <c r="AE201" s="1959"/>
      <c r="AF201" s="1959"/>
      <c r="AG201" s="1964"/>
      <c r="AH201" s="1967"/>
      <c r="AI201" s="1983"/>
      <c r="AJ201" s="1984"/>
      <c r="AK201" s="1985"/>
      <c r="AL201" s="1985"/>
      <c r="AM201" s="1985"/>
      <c r="AN201" s="1324"/>
      <c r="AO201" s="1324"/>
      <c r="AP201" s="1324"/>
      <c r="AQ201" s="1324"/>
      <c r="AR201" s="1324"/>
      <c r="AS201" s="1324"/>
      <c r="AT201" s="1324"/>
      <c r="AU201" s="1325"/>
      <c r="AV201" s="1327"/>
    </row>
    <row r="202" spans="1:48">
      <c r="A202" s="1945"/>
      <c r="B202" s="1945"/>
      <c r="C202" s="1959">
        <v>437.89</v>
      </c>
      <c r="D202" s="1964">
        <v>445.1</v>
      </c>
      <c r="E202" s="1967">
        <v>452.31</v>
      </c>
      <c r="F202" s="1959">
        <v>459.52</v>
      </c>
      <c r="G202" s="1964"/>
      <c r="H202" s="1959"/>
      <c r="I202" s="1964"/>
      <c r="J202" s="1967"/>
      <c r="K202" s="1983"/>
      <c r="L202" s="1964"/>
      <c r="M202" s="1964"/>
      <c r="N202" s="1985"/>
      <c r="O202" s="1985"/>
      <c r="P202" s="1985"/>
      <c r="Q202" s="1324"/>
      <c r="R202" s="1324"/>
      <c r="S202" s="1324"/>
      <c r="T202" s="1324"/>
      <c r="U202" s="1324"/>
      <c r="V202" s="1324"/>
      <c r="W202" s="1325"/>
      <c r="X202" s="1326">
        <v>198</v>
      </c>
      <c r="Y202" s="1982"/>
      <c r="Z202" s="1964"/>
      <c r="AA202" s="1959">
        <v>267.83999999999997</v>
      </c>
      <c r="AB202" s="1964">
        <v>272.92</v>
      </c>
      <c r="AC202" s="1967">
        <v>278.01</v>
      </c>
      <c r="AD202" s="1959">
        <v>283.10000000000002</v>
      </c>
      <c r="AE202" s="1959"/>
      <c r="AF202" s="1959"/>
      <c r="AG202" s="1964"/>
      <c r="AH202" s="1967"/>
      <c r="AI202" s="1983"/>
      <c r="AJ202" s="1984"/>
      <c r="AK202" s="1985"/>
      <c r="AL202" s="1985"/>
      <c r="AM202" s="1985"/>
      <c r="AN202" s="1324"/>
      <c r="AO202" s="1324"/>
      <c r="AP202" s="1324"/>
      <c r="AQ202" s="1324"/>
      <c r="AR202" s="1324"/>
      <c r="AS202" s="1324"/>
      <c r="AT202" s="1324"/>
      <c r="AU202" s="1325"/>
      <c r="AV202" s="1327"/>
    </row>
    <row r="203" spans="1:48">
      <c r="A203" s="1945"/>
      <c r="B203" s="1945"/>
      <c r="C203" s="1959">
        <v>439.66</v>
      </c>
      <c r="D203" s="1964">
        <v>446.9</v>
      </c>
      <c r="E203" s="1967">
        <v>454.14</v>
      </c>
      <c r="F203" s="1959">
        <v>461.39</v>
      </c>
      <c r="G203" s="1964"/>
      <c r="H203" s="1959"/>
      <c r="I203" s="1964"/>
      <c r="J203" s="1967"/>
      <c r="K203" s="1983"/>
      <c r="L203" s="1964"/>
      <c r="M203" s="1964"/>
      <c r="N203" s="1985"/>
      <c r="O203" s="1985"/>
      <c r="P203" s="1985"/>
      <c r="Q203" s="1324"/>
      <c r="R203" s="1324"/>
      <c r="S203" s="1324"/>
      <c r="T203" s="1324"/>
      <c r="U203" s="1324"/>
      <c r="V203" s="1324"/>
      <c r="W203" s="1325"/>
      <c r="X203" s="1326">
        <v>199</v>
      </c>
      <c r="Y203" s="1982"/>
      <c r="Z203" s="1964"/>
      <c r="AA203" s="1959">
        <v>269.24</v>
      </c>
      <c r="AB203" s="1964">
        <v>274.36</v>
      </c>
      <c r="AC203" s="1967">
        <v>279.47000000000003</v>
      </c>
      <c r="AD203" s="1959">
        <v>284.58999999999997</v>
      </c>
      <c r="AE203" s="1959"/>
      <c r="AF203" s="1959"/>
      <c r="AG203" s="1964"/>
      <c r="AH203" s="1967"/>
      <c r="AI203" s="1983"/>
      <c r="AJ203" s="1984"/>
      <c r="AK203" s="1985"/>
      <c r="AL203" s="1985"/>
      <c r="AM203" s="1985"/>
      <c r="AN203" s="1324"/>
      <c r="AO203" s="1324"/>
      <c r="AP203" s="1324"/>
      <c r="AQ203" s="1324"/>
      <c r="AR203" s="1324"/>
      <c r="AS203" s="1324"/>
      <c r="AT203" s="1324"/>
      <c r="AU203" s="1325"/>
      <c r="AV203" s="1327"/>
    </row>
    <row r="204" spans="1:48" ht="22.5" thickBot="1">
      <c r="A204" s="1947"/>
      <c r="B204" s="1947"/>
      <c r="C204" s="1960">
        <v>442.08</v>
      </c>
      <c r="D204" s="1965">
        <v>449.36</v>
      </c>
      <c r="E204" s="1968">
        <v>456.64</v>
      </c>
      <c r="F204" s="1960">
        <v>463.92</v>
      </c>
      <c r="G204" s="1965"/>
      <c r="H204" s="1960"/>
      <c r="I204" s="1965"/>
      <c r="J204" s="1968"/>
      <c r="K204" s="1993"/>
      <c r="L204" s="1965"/>
      <c r="M204" s="1965"/>
      <c r="N204" s="1990"/>
      <c r="O204" s="1990"/>
      <c r="P204" s="1990"/>
      <c r="Q204" s="1328"/>
      <c r="R204" s="1328"/>
      <c r="S204" s="1329"/>
      <c r="T204" s="1329"/>
      <c r="U204" s="1329"/>
      <c r="V204" s="1329"/>
      <c r="W204" s="1330"/>
      <c r="X204" s="1331">
        <v>200</v>
      </c>
      <c r="Y204" s="1987"/>
      <c r="Z204" s="1965"/>
      <c r="AA204" s="1960">
        <v>270.64999999999998</v>
      </c>
      <c r="AB204" s="1965">
        <v>275.79000000000002</v>
      </c>
      <c r="AC204" s="1968">
        <v>280.93</v>
      </c>
      <c r="AD204" s="1960">
        <v>286.07</v>
      </c>
      <c r="AE204" s="1960"/>
      <c r="AF204" s="1960"/>
      <c r="AG204" s="1965"/>
      <c r="AH204" s="1968"/>
      <c r="AI204" s="1988"/>
      <c r="AJ204" s="1989"/>
      <c r="AK204" s="1990"/>
      <c r="AL204" s="1990"/>
      <c r="AM204" s="1990"/>
      <c r="AN204" s="1328"/>
      <c r="AO204" s="1328"/>
      <c r="AP204" s="1328"/>
      <c r="AQ204" s="1329"/>
      <c r="AR204" s="1329"/>
      <c r="AS204" s="1329"/>
      <c r="AT204" s="1329"/>
      <c r="AU204" s="1330"/>
      <c r="AV204" s="1332"/>
    </row>
    <row r="205" spans="1:48" ht="22.5" thickBot="1">
      <c r="A205" s="1948"/>
      <c r="B205" s="1948"/>
      <c r="C205" s="1961">
        <v>2.21</v>
      </c>
      <c r="D205" s="1948">
        <v>2.25</v>
      </c>
      <c r="E205" s="1961">
        <v>2.29</v>
      </c>
      <c r="F205" s="1994">
        <v>2.3199999999999998</v>
      </c>
      <c r="G205" s="1948"/>
      <c r="H205" s="1961"/>
      <c r="I205" s="1948"/>
      <c r="J205" s="1961"/>
      <c r="K205" s="1961"/>
      <c r="L205" s="1948"/>
      <c r="M205" s="1948"/>
      <c r="N205" s="1948"/>
      <c r="O205" s="1948"/>
      <c r="P205" s="1948"/>
      <c r="Q205" s="965"/>
      <c r="R205" s="965"/>
      <c r="S205" s="965"/>
      <c r="T205" s="967"/>
      <c r="U205" s="967"/>
      <c r="V205" s="967"/>
      <c r="W205" s="966"/>
      <c r="X205" s="1333"/>
      <c r="Y205" s="1971"/>
      <c r="Z205" s="1972"/>
      <c r="AA205" s="1973">
        <v>1.35</v>
      </c>
      <c r="AB205" s="1972">
        <v>1.38</v>
      </c>
      <c r="AC205" s="1972">
        <v>1.41</v>
      </c>
      <c r="AD205" s="1973">
        <v>1.43</v>
      </c>
      <c r="AE205" s="1972"/>
      <c r="AF205" s="1973"/>
      <c r="AG205" s="1972"/>
      <c r="AH205" s="1972"/>
      <c r="AI205" s="1972"/>
      <c r="AJ205" s="1974"/>
      <c r="AK205" s="1975"/>
      <c r="AL205" s="1975"/>
      <c r="AM205" s="1975"/>
      <c r="AN205" s="967"/>
      <c r="AO205" s="967"/>
      <c r="AP205" s="967"/>
      <c r="AQ205" s="965"/>
      <c r="AR205" s="965"/>
      <c r="AS205" s="965"/>
      <c r="AT205" s="965"/>
      <c r="AU205" s="966"/>
    </row>
    <row r="206" spans="1:48">
      <c r="A206" s="1938"/>
      <c r="C206" s="1962"/>
      <c r="D206" s="1962"/>
      <c r="E206" s="1962"/>
      <c r="F206" s="958"/>
      <c r="G206" s="958"/>
      <c r="H206" s="958"/>
      <c r="I206" s="958"/>
      <c r="J206" s="958"/>
      <c r="K206" s="958"/>
      <c r="L206" s="958"/>
      <c r="M206" s="958"/>
      <c r="N206" s="958"/>
      <c r="O206" s="958"/>
      <c r="P206" s="958"/>
      <c r="Q206" s="958"/>
      <c r="R206" s="958"/>
      <c r="S206" s="958"/>
      <c r="W206" s="958"/>
      <c r="X206" s="958"/>
      <c r="Y206" s="958"/>
      <c r="Z206" s="958"/>
      <c r="AA206" s="1334"/>
      <c r="AB206" s="958"/>
      <c r="AC206" s="958"/>
      <c r="AD206" s="958"/>
      <c r="AE206" s="958"/>
      <c r="AF206" s="958"/>
      <c r="AQ206" s="958"/>
      <c r="AR206" s="958"/>
      <c r="AS206" s="958"/>
      <c r="AT206" s="958"/>
    </row>
    <row r="207" spans="1:48">
      <c r="A207" s="1938"/>
    </row>
    <row r="208" spans="1:48">
      <c r="A208" s="1938"/>
      <c r="AJ208" s="905"/>
    </row>
    <row r="209" spans="1:1">
      <c r="A209" s="1938"/>
    </row>
  </sheetData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2:BI26"/>
  <sheetViews>
    <sheetView topLeftCell="A13" workbookViewId="0">
      <selection activeCell="A19" sqref="A19:H26"/>
    </sheetView>
  </sheetViews>
  <sheetFormatPr defaultColWidth="9.140625" defaultRowHeight="21.75"/>
  <cols>
    <col min="1" max="1" width="6.7109375" style="171" customWidth="1"/>
    <col min="2" max="3" width="8.7109375" style="171" customWidth="1"/>
    <col min="4" max="4" width="9.140625" style="171" bestFit="1" customWidth="1"/>
    <col min="5" max="5" width="10.140625" style="171" bestFit="1" customWidth="1"/>
    <col min="6" max="6" width="9.28515625" style="171" bestFit="1" customWidth="1"/>
    <col min="7" max="7" width="4.7109375" style="171" customWidth="1"/>
    <col min="8" max="8" width="9" style="171" bestFit="1" customWidth="1"/>
    <col min="9" max="9" width="4.5703125" style="171" customWidth="1"/>
    <col min="10" max="10" width="4.28515625" style="171" customWidth="1"/>
    <col min="11" max="11" width="5.140625" style="171" bestFit="1" customWidth="1"/>
    <col min="12" max="12" width="5.7109375" style="171" bestFit="1" customWidth="1"/>
    <col min="13" max="13" width="9" style="171" bestFit="1" customWidth="1"/>
    <col min="14" max="14" width="10" style="171" bestFit="1" customWidth="1"/>
    <col min="15" max="15" width="8.5703125" style="171" bestFit="1" customWidth="1"/>
    <col min="16" max="16" width="3.5703125" style="171" bestFit="1" customWidth="1"/>
    <col min="17" max="17" width="9" style="171" bestFit="1" customWidth="1"/>
    <col min="18" max="18" width="5.7109375" style="171" bestFit="1" customWidth="1"/>
    <col min="19" max="19" width="3.5703125" style="171" bestFit="1" customWidth="1"/>
    <col min="20" max="20" width="5.140625" style="171" bestFit="1" customWidth="1"/>
    <col min="21" max="21" width="5.7109375" style="171" bestFit="1" customWidth="1"/>
    <col min="22" max="22" width="6.5703125" style="171" bestFit="1" customWidth="1"/>
    <col min="23" max="23" width="10.140625" style="171" bestFit="1" customWidth="1"/>
    <col min="24" max="24" width="9.140625" style="171" bestFit="1" customWidth="1"/>
    <col min="25" max="25" width="3.5703125" style="171" bestFit="1" customWidth="1"/>
    <col min="26" max="26" width="5.140625" style="171" bestFit="1" customWidth="1"/>
    <col min="27" max="27" width="6.7109375" style="171" bestFit="1" customWidth="1"/>
    <col min="28" max="28" width="6.5703125" style="171" bestFit="1" customWidth="1"/>
    <col min="29" max="29" width="3.5703125" style="171" bestFit="1" customWidth="1"/>
    <col min="30" max="30" width="5.140625" style="171" bestFit="1" customWidth="1"/>
    <col min="31" max="31" width="9" style="171" bestFit="1" customWidth="1"/>
    <col min="32" max="32" width="6.7109375" style="171" bestFit="1" customWidth="1"/>
    <col min="33" max="33" width="10" style="171" bestFit="1" customWidth="1"/>
    <col min="34" max="34" width="10.42578125" style="171" bestFit="1" customWidth="1"/>
    <col min="35" max="16384" width="9.140625" style="171"/>
  </cols>
  <sheetData>
    <row r="2" spans="1:61" s="1192" customFormat="1">
      <c r="A2" s="2802" t="s">
        <v>280</v>
      </c>
      <c r="B2" s="2802" t="s">
        <v>274</v>
      </c>
      <c r="C2" s="2802" t="s">
        <v>275</v>
      </c>
      <c r="D2" s="2802" t="s">
        <v>450</v>
      </c>
      <c r="E2" s="2802" t="s">
        <v>276</v>
      </c>
      <c r="F2" s="2804" t="s">
        <v>451</v>
      </c>
      <c r="G2" s="2805"/>
      <c r="H2" s="2805"/>
      <c r="I2" s="2805"/>
      <c r="J2" s="2805"/>
      <c r="K2" s="2805"/>
      <c r="L2" s="2805"/>
      <c r="M2" s="2805"/>
      <c r="N2" s="2806"/>
      <c r="O2" s="2804" t="s">
        <v>452</v>
      </c>
      <c r="P2" s="2805"/>
      <c r="Q2" s="2805"/>
      <c r="R2" s="2805"/>
      <c r="S2" s="2805"/>
      <c r="T2" s="2805"/>
      <c r="U2" s="2805"/>
      <c r="V2" s="2805"/>
      <c r="W2" s="2806"/>
      <c r="X2" s="2812" t="s">
        <v>277</v>
      </c>
      <c r="Y2" s="2812"/>
      <c r="Z2" s="2812"/>
      <c r="AA2" s="2812"/>
      <c r="AB2" s="2812"/>
      <c r="AC2" s="2812"/>
      <c r="AD2" s="2812"/>
      <c r="AE2" s="2812"/>
      <c r="AF2" s="2812"/>
      <c r="AG2" s="2812"/>
      <c r="AH2" s="2808" t="s">
        <v>283</v>
      </c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</row>
    <row r="3" spans="1:61" ht="21.75" customHeight="1">
      <c r="A3" s="2802"/>
      <c r="B3" s="2802"/>
      <c r="C3" s="2802"/>
      <c r="D3" s="2802"/>
      <c r="E3" s="2802"/>
      <c r="F3" s="1193" t="s">
        <v>453</v>
      </c>
      <c r="G3" s="2802" t="s">
        <v>454</v>
      </c>
      <c r="H3" s="2802"/>
      <c r="I3" s="2802"/>
      <c r="J3" s="2802"/>
      <c r="K3" s="2802"/>
      <c r="L3" s="2802"/>
      <c r="M3" s="2802"/>
      <c r="N3" s="2802"/>
      <c r="O3" s="1193" t="s">
        <v>453</v>
      </c>
      <c r="P3" s="2802" t="s">
        <v>454</v>
      </c>
      <c r="Q3" s="2802"/>
      <c r="R3" s="2802"/>
      <c r="S3" s="2802"/>
      <c r="T3" s="2802"/>
      <c r="U3" s="2802"/>
      <c r="V3" s="2802"/>
      <c r="W3" s="2802"/>
      <c r="X3" s="1193" t="s">
        <v>453</v>
      </c>
      <c r="Y3" s="2811" t="s">
        <v>455</v>
      </c>
      <c r="Z3" s="2811"/>
      <c r="AA3" s="2811"/>
      <c r="AB3" s="2811"/>
      <c r="AC3" s="2811" t="s">
        <v>456</v>
      </c>
      <c r="AD3" s="2811"/>
      <c r="AE3" s="2811"/>
      <c r="AF3" s="2811"/>
      <c r="AG3" s="2808" t="s">
        <v>1753</v>
      </c>
      <c r="AH3" s="2809"/>
    </row>
    <row r="4" spans="1:61" ht="24.75">
      <c r="A4" s="2802"/>
      <c r="B4" s="2802"/>
      <c r="C4" s="2802"/>
      <c r="D4" s="2802"/>
      <c r="E4" s="2802"/>
      <c r="F4" s="1452" t="s">
        <v>1754</v>
      </c>
      <c r="G4" s="1452" t="s">
        <v>278</v>
      </c>
      <c r="H4" s="1452" t="s">
        <v>280</v>
      </c>
      <c r="I4" s="1452" t="s">
        <v>281</v>
      </c>
      <c r="J4" s="1452" t="s">
        <v>278</v>
      </c>
      <c r="K4" s="1452" t="s">
        <v>279</v>
      </c>
      <c r="L4" s="1452" t="s">
        <v>280</v>
      </c>
      <c r="M4" s="1452" t="s">
        <v>281</v>
      </c>
      <c r="N4" s="1452" t="s">
        <v>1753</v>
      </c>
      <c r="O4" s="1194"/>
      <c r="P4" s="1452" t="s">
        <v>278</v>
      </c>
      <c r="Q4" s="1452" t="s">
        <v>280</v>
      </c>
      <c r="R4" s="1452" t="s">
        <v>281</v>
      </c>
      <c r="S4" s="1452" t="s">
        <v>278</v>
      </c>
      <c r="T4" s="1452" t="s">
        <v>279</v>
      </c>
      <c r="U4" s="1452" t="s">
        <v>280</v>
      </c>
      <c r="V4" s="1452" t="s">
        <v>281</v>
      </c>
      <c r="W4" s="1452" t="s">
        <v>1753</v>
      </c>
      <c r="X4" s="1194"/>
      <c r="Y4" s="1195" t="s">
        <v>278</v>
      </c>
      <c r="Z4" s="1195" t="s">
        <v>279</v>
      </c>
      <c r="AA4" s="1195" t="s">
        <v>280</v>
      </c>
      <c r="AB4" s="1195" t="s">
        <v>281</v>
      </c>
      <c r="AC4" s="1195" t="s">
        <v>278</v>
      </c>
      <c r="AD4" s="1195" t="s">
        <v>279</v>
      </c>
      <c r="AE4" s="1195" t="s">
        <v>280</v>
      </c>
      <c r="AF4" s="1195" t="s">
        <v>281</v>
      </c>
      <c r="AG4" s="2810"/>
      <c r="AH4" s="2810"/>
    </row>
    <row r="5" spans="1:61">
      <c r="A5" s="740">
        <f t="shared" ref="A5:A10" si="0">+B5*C5</f>
        <v>5.25</v>
      </c>
      <c r="B5" s="1196">
        <f>+BackupAC!E67</f>
        <v>3.5</v>
      </c>
      <c r="C5" s="322">
        <f>+BackupAC!G67</f>
        <v>1.5</v>
      </c>
      <c r="D5" s="322">
        <f>+BackupAC!D67</f>
        <v>1000</v>
      </c>
      <c r="E5" s="322">
        <f t="shared" ref="E5:E10" si="1">ROUND(SQRT(A5^2+B5^2)*D5,3)</f>
        <v>6309.7150000000001</v>
      </c>
      <c r="F5" s="1197">
        <f t="shared" ref="F5:F10" si="2">ROUND(0.084*D5,3)</f>
        <v>84</v>
      </c>
      <c r="G5" s="1195">
        <v>9</v>
      </c>
      <c r="H5" s="322">
        <f t="shared" ref="H5:H10" si="3">+D5</f>
        <v>1000</v>
      </c>
      <c r="I5" s="1198">
        <f t="shared" ref="I5:I10" si="4">+IF(D5&gt;0,3,)</f>
        <v>3</v>
      </c>
      <c r="J5" s="1195">
        <v>9</v>
      </c>
      <c r="K5" s="740">
        <v>0.25</v>
      </c>
      <c r="L5" s="1199">
        <f t="shared" ref="L5:L10" si="5">+IF(D5&gt;0,0.65,)</f>
        <v>0.65</v>
      </c>
      <c r="M5" s="322">
        <f t="shared" ref="M5:M10" si="6">+IF(D5&gt;0,ROUNDUP(H5/K5+1,),)</f>
        <v>4001</v>
      </c>
      <c r="N5" s="1197">
        <f t="shared" ref="N5:N10" si="7">+ROUND((H5*I5+L5*M5)*0.499,3)</f>
        <v>2794.7240000000002</v>
      </c>
      <c r="O5" s="1197">
        <f t="shared" ref="O5:O10" si="8">ROUND(0.195*H5,3)</f>
        <v>195</v>
      </c>
      <c r="P5" s="1195">
        <v>9</v>
      </c>
      <c r="Q5" s="322">
        <f t="shared" ref="Q5:Q10" si="9">+H5</f>
        <v>1000</v>
      </c>
      <c r="R5" s="1198">
        <f t="shared" ref="R5:R10" si="10">+IF(D5&gt;0,4,)</f>
        <v>4</v>
      </c>
      <c r="S5" s="1195">
        <v>9</v>
      </c>
      <c r="T5" s="740">
        <v>0.25</v>
      </c>
      <c r="U5" s="322">
        <f t="shared" ref="U5:U10" si="11">+IF(D5&gt;0,2.1,)</f>
        <v>2.1</v>
      </c>
      <c r="V5" s="1198">
        <f t="shared" ref="V5:V10" si="12">+IF(D5&gt;0,ROUNDUP(Q5/T5+1,),)</f>
        <v>4001</v>
      </c>
      <c r="W5" s="1197">
        <f t="shared" ref="W5:W10" si="13">+ROUND((Q5*R5+U5*V5)*0.499,3)</f>
        <v>6188.6480000000001</v>
      </c>
      <c r="X5" s="1197">
        <f t="shared" ref="X5:X10" si="14">+IF(D5&gt;0,ROUND(E5*0.1,3),)</f>
        <v>630.97199999999998</v>
      </c>
      <c r="Y5" s="1195">
        <v>9</v>
      </c>
      <c r="Z5" s="740">
        <v>0.25</v>
      </c>
      <c r="AA5" s="1197">
        <f t="shared" ref="AA5:AA10" si="15">IF(D5&gt;0,ROUND(SQRT(A5^2+B5^2),2),)</f>
        <v>6.31</v>
      </c>
      <c r="AB5" s="1198">
        <f t="shared" ref="AB5:AB10" si="16">+IF(D5&gt;0,V5,)</f>
        <v>4001</v>
      </c>
      <c r="AC5" s="1195">
        <v>9</v>
      </c>
      <c r="AD5" s="740">
        <v>0.25</v>
      </c>
      <c r="AE5" s="322">
        <f t="shared" ref="AE5:AE10" si="17">+IF(D5&gt;0,D5,)</f>
        <v>1000</v>
      </c>
      <c r="AF5" s="322">
        <f t="shared" ref="AF5:AF10" si="18">+IF(D5&gt;0,ROUNDUP(AA5/AD5+1,),)</f>
        <v>27</v>
      </c>
      <c r="AG5" s="1199">
        <f t="shared" ref="AG5:AG10" si="19">+ROUND((AA5*AB5+AE5*AF5)*0.499,3)</f>
        <v>26070.909</v>
      </c>
      <c r="AH5" s="1200">
        <f>+IF(D5&gt;0,ROUND((1)*D5,3),)</f>
        <v>1000</v>
      </c>
    </row>
    <row r="6" spans="1:61">
      <c r="A6" s="740">
        <f t="shared" si="0"/>
        <v>3</v>
      </c>
      <c r="B6" s="1196">
        <f>+BackupAC!E68</f>
        <v>2</v>
      </c>
      <c r="C6" s="322">
        <f>+BackupAC!G68</f>
        <v>1.5</v>
      </c>
      <c r="D6" s="322">
        <f>+BackupAC!D68</f>
        <v>0</v>
      </c>
      <c r="E6" s="322">
        <f t="shared" si="1"/>
        <v>0</v>
      </c>
      <c r="F6" s="1197">
        <f t="shared" si="2"/>
        <v>0</v>
      </c>
      <c r="G6" s="1195">
        <v>9</v>
      </c>
      <c r="H6" s="322">
        <f t="shared" si="3"/>
        <v>0</v>
      </c>
      <c r="I6" s="1198">
        <f t="shared" si="4"/>
        <v>0</v>
      </c>
      <c r="J6" s="1195">
        <v>9</v>
      </c>
      <c r="K6" s="740">
        <v>0.25</v>
      </c>
      <c r="L6" s="1199">
        <f t="shared" si="5"/>
        <v>0</v>
      </c>
      <c r="M6" s="322">
        <f t="shared" si="6"/>
        <v>0</v>
      </c>
      <c r="N6" s="1197">
        <f t="shared" si="7"/>
        <v>0</v>
      </c>
      <c r="O6" s="1197">
        <f t="shared" si="8"/>
        <v>0</v>
      </c>
      <c r="P6" s="1195">
        <v>10</v>
      </c>
      <c r="Q6" s="322">
        <f t="shared" si="9"/>
        <v>0</v>
      </c>
      <c r="R6" s="1198">
        <f t="shared" si="10"/>
        <v>0</v>
      </c>
      <c r="S6" s="1195">
        <v>9</v>
      </c>
      <c r="T6" s="740">
        <v>0.25</v>
      </c>
      <c r="U6" s="322">
        <f t="shared" si="11"/>
        <v>0</v>
      </c>
      <c r="V6" s="1198">
        <f t="shared" si="12"/>
        <v>0</v>
      </c>
      <c r="W6" s="1197">
        <f t="shared" si="13"/>
        <v>0</v>
      </c>
      <c r="X6" s="1197">
        <f t="shared" si="14"/>
        <v>0</v>
      </c>
      <c r="Y6" s="1195">
        <v>9</v>
      </c>
      <c r="Z6" s="740">
        <v>0.25</v>
      </c>
      <c r="AA6" s="1197">
        <f t="shared" si="15"/>
        <v>0</v>
      </c>
      <c r="AB6" s="1198">
        <f t="shared" si="16"/>
        <v>0</v>
      </c>
      <c r="AC6" s="1195">
        <v>9</v>
      </c>
      <c r="AD6" s="740">
        <v>0.25</v>
      </c>
      <c r="AE6" s="322">
        <f t="shared" si="17"/>
        <v>0</v>
      </c>
      <c r="AF6" s="322">
        <f t="shared" si="18"/>
        <v>0</v>
      </c>
      <c r="AG6" s="1199">
        <f t="shared" si="19"/>
        <v>0</v>
      </c>
      <c r="AH6" s="1200">
        <f>+IF(D6&gt;0,ROUND((1.5)*D6,3),)</f>
        <v>0</v>
      </c>
    </row>
    <row r="7" spans="1:61">
      <c r="A7" s="740">
        <f t="shared" si="0"/>
        <v>0</v>
      </c>
      <c r="B7" s="1196">
        <f>+BackupAC!E69</f>
        <v>0</v>
      </c>
      <c r="C7" s="322">
        <f>+BackupAC!G69</f>
        <v>0</v>
      </c>
      <c r="D7" s="322">
        <f>+BackupAC!D69</f>
        <v>0</v>
      </c>
      <c r="E7" s="322">
        <f t="shared" si="1"/>
        <v>0</v>
      </c>
      <c r="F7" s="1197">
        <f t="shared" si="2"/>
        <v>0</v>
      </c>
      <c r="G7" s="1195">
        <v>9</v>
      </c>
      <c r="H7" s="322">
        <f t="shared" si="3"/>
        <v>0</v>
      </c>
      <c r="I7" s="1198">
        <f t="shared" si="4"/>
        <v>0</v>
      </c>
      <c r="J7" s="1195">
        <v>9</v>
      </c>
      <c r="K7" s="740">
        <v>0.25</v>
      </c>
      <c r="L7" s="1199">
        <f t="shared" si="5"/>
        <v>0</v>
      </c>
      <c r="M7" s="322">
        <f t="shared" si="6"/>
        <v>0</v>
      </c>
      <c r="N7" s="1197">
        <f t="shared" si="7"/>
        <v>0</v>
      </c>
      <c r="O7" s="1197">
        <f t="shared" si="8"/>
        <v>0</v>
      </c>
      <c r="P7" s="1195">
        <v>11</v>
      </c>
      <c r="Q7" s="322">
        <f t="shared" si="9"/>
        <v>0</v>
      </c>
      <c r="R7" s="1198">
        <f t="shared" si="10"/>
        <v>0</v>
      </c>
      <c r="S7" s="1195">
        <v>9</v>
      </c>
      <c r="T7" s="740">
        <v>0.25</v>
      </c>
      <c r="U7" s="322">
        <f t="shared" si="11"/>
        <v>0</v>
      </c>
      <c r="V7" s="1198">
        <f t="shared" si="12"/>
        <v>0</v>
      </c>
      <c r="W7" s="1197">
        <f t="shared" si="13"/>
        <v>0</v>
      </c>
      <c r="X7" s="1197">
        <f t="shared" si="14"/>
        <v>0</v>
      </c>
      <c r="Y7" s="1195">
        <v>9</v>
      </c>
      <c r="Z7" s="740">
        <v>0.25</v>
      </c>
      <c r="AA7" s="1197">
        <f t="shared" si="15"/>
        <v>0</v>
      </c>
      <c r="AB7" s="1198">
        <f t="shared" si="16"/>
        <v>0</v>
      </c>
      <c r="AC7" s="1195">
        <v>9</v>
      </c>
      <c r="AD7" s="740">
        <v>0.25</v>
      </c>
      <c r="AE7" s="322">
        <f t="shared" si="17"/>
        <v>0</v>
      </c>
      <c r="AF7" s="322">
        <f t="shared" si="18"/>
        <v>0</v>
      </c>
      <c r="AG7" s="1199">
        <f t="shared" si="19"/>
        <v>0</v>
      </c>
      <c r="AH7" s="1200">
        <f>+IF(D7&gt;0,ROUND(((0.3+0.3+0.45+0.45)*D7+(0.085+0.185+AA7*0.1))*2,3),)</f>
        <v>0</v>
      </c>
    </row>
    <row r="8" spans="1:61">
      <c r="A8" s="740">
        <f t="shared" si="0"/>
        <v>0</v>
      </c>
      <c r="B8" s="1196">
        <f>+BackupAC!E70</f>
        <v>0</v>
      </c>
      <c r="C8" s="322">
        <f>+BackupAC!G70</f>
        <v>0</v>
      </c>
      <c r="D8" s="322">
        <f>+BackupAC!D70</f>
        <v>0</v>
      </c>
      <c r="E8" s="322">
        <f t="shared" si="1"/>
        <v>0</v>
      </c>
      <c r="F8" s="1197">
        <f t="shared" si="2"/>
        <v>0</v>
      </c>
      <c r="G8" s="1195">
        <v>9</v>
      </c>
      <c r="H8" s="322">
        <f t="shared" si="3"/>
        <v>0</v>
      </c>
      <c r="I8" s="1198">
        <f t="shared" si="4"/>
        <v>0</v>
      </c>
      <c r="J8" s="1195">
        <v>9</v>
      </c>
      <c r="K8" s="740">
        <v>0.25</v>
      </c>
      <c r="L8" s="1199">
        <f t="shared" si="5"/>
        <v>0</v>
      </c>
      <c r="M8" s="322">
        <f t="shared" si="6"/>
        <v>0</v>
      </c>
      <c r="N8" s="1197">
        <f t="shared" si="7"/>
        <v>0</v>
      </c>
      <c r="O8" s="1197">
        <f t="shared" si="8"/>
        <v>0</v>
      </c>
      <c r="P8" s="1195">
        <v>12</v>
      </c>
      <c r="Q8" s="322">
        <f t="shared" si="9"/>
        <v>0</v>
      </c>
      <c r="R8" s="1198">
        <f t="shared" si="10"/>
        <v>0</v>
      </c>
      <c r="S8" s="1195">
        <v>9</v>
      </c>
      <c r="T8" s="740">
        <v>0.25</v>
      </c>
      <c r="U8" s="322">
        <f t="shared" si="11"/>
        <v>0</v>
      </c>
      <c r="V8" s="1198">
        <f t="shared" si="12"/>
        <v>0</v>
      </c>
      <c r="W8" s="1197">
        <f t="shared" si="13"/>
        <v>0</v>
      </c>
      <c r="X8" s="1197">
        <f t="shared" si="14"/>
        <v>0</v>
      </c>
      <c r="Y8" s="1195">
        <v>9</v>
      </c>
      <c r="Z8" s="740">
        <v>0.25</v>
      </c>
      <c r="AA8" s="1197">
        <f t="shared" si="15"/>
        <v>0</v>
      </c>
      <c r="AB8" s="1198">
        <f t="shared" si="16"/>
        <v>0</v>
      </c>
      <c r="AC8" s="1195">
        <v>9</v>
      </c>
      <c r="AD8" s="740">
        <v>0.25</v>
      </c>
      <c r="AE8" s="322">
        <f t="shared" si="17"/>
        <v>0</v>
      </c>
      <c r="AF8" s="322">
        <f t="shared" si="18"/>
        <v>0</v>
      </c>
      <c r="AG8" s="1199">
        <f t="shared" si="19"/>
        <v>0</v>
      </c>
      <c r="AH8" s="1200">
        <f>+IF(D8&gt;0,ROUND(((0.3+0.3+0.45+0.45)*D8+(0.085+0.185+AA8*0.1))*2,3),)</f>
        <v>0</v>
      </c>
    </row>
    <row r="9" spans="1:61">
      <c r="A9" s="740">
        <f t="shared" si="0"/>
        <v>0</v>
      </c>
      <c r="B9" s="1196">
        <f>+BackupAC!E71</f>
        <v>0</v>
      </c>
      <c r="C9" s="322">
        <f>+BackupAC!G71</f>
        <v>0</v>
      </c>
      <c r="D9" s="322">
        <f>+BackupAC!D71</f>
        <v>0</v>
      </c>
      <c r="E9" s="322">
        <f t="shared" si="1"/>
        <v>0</v>
      </c>
      <c r="F9" s="1197">
        <f t="shared" si="2"/>
        <v>0</v>
      </c>
      <c r="G9" s="1195">
        <v>9</v>
      </c>
      <c r="H9" s="322">
        <f t="shared" si="3"/>
        <v>0</v>
      </c>
      <c r="I9" s="1198">
        <f t="shared" si="4"/>
        <v>0</v>
      </c>
      <c r="J9" s="1195">
        <v>9</v>
      </c>
      <c r="K9" s="740">
        <v>0.25</v>
      </c>
      <c r="L9" s="1199">
        <f t="shared" si="5"/>
        <v>0</v>
      </c>
      <c r="M9" s="322">
        <f t="shared" si="6"/>
        <v>0</v>
      </c>
      <c r="N9" s="1197">
        <f t="shared" si="7"/>
        <v>0</v>
      </c>
      <c r="O9" s="1197">
        <f t="shared" si="8"/>
        <v>0</v>
      </c>
      <c r="P9" s="1195">
        <v>13</v>
      </c>
      <c r="Q9" s="322">
        <f t="shared" si="9"/>
        <v>0</v>
      </c>
      <c r="R9" s="1198">
        <f t="shared" si="10"/>
        <v>0</v>
      </c>
      <c r="S9" s="1195">
        <v>9</v>
      </c>
      <c r="T9" s="740">
        <v>0.25</v>
      </c>
      <c r="U9" s="322">
        <f t="shared" si="11"/>
        <v>0</v>
      </c>
      <c r="V9" s="1198">
        <f t="shared" si="12"/>
        <v>0</v>
      </c>
      <c r="W9" s="1197">
        <f t="shared" si="13"/>
        <v>0</v>
      </c>
      <c r="X9" s="1197">
        <f t="shared" si="14"/>
        <v>0</v>
      </c>
      <c r="Y9" s="1195">
        <v>9</v>
      </c>
      <c r="Z9" s="740">
        <v>0.25</v>
      </c>
      <c r="AA9" s="1197">
        <f t="shared" si="15"/>
        <v>0</v>
      </c>
      <c r="AB9" s="1198">
        <f t="shared" si="16"/>
        <v>0</v>
      </c>
      <c r="AC9" s="1195">
        <v>9</v>
      </c>
      <c r="AD9" s="740">
        <v>0.25</v>
      </c>
      <c r="AE9" s="322">
        <f t="shared" si="17"/>
        <v>0</v>
      </c>
      <c r="AF9" s="322">
        <f t="shared" si="18"/>
        <v>0</v>
      </c>
      <c r="AG9" s="1199">
        <f t="shared" si="19"/>
        <v>0</v>
      </c>
      <c r="AH9" s="1200">
        <f>+IF(D9&gt;0,ROUND(((0.3+0.3+0.45+0.45)*D9+(0.085+0.185+AA9*0.1))*2,3),)</f>
        <v>0</v>
      </c>
    </row>
    <row r="10" spans="1:61">
      <c r="A10" s="740">
        <f t="shared" si="0"/>
        <v>0</v>
      </c>
      <c r="B10" s="1196">
        <f>+BackupAC!E72</f>
        <v>0</v>
      </c>
      <c r="C10" s="322">
        <f>+BackupAC!G72</f>
        <v>0</v>
      </c>
      <c r="D10" s="322">
        <f>+BackupAC!D72</f>
        <v>0</v>
      </c>
      <c r="E10" s="322">
        <f t="shared" si="1"/>
        <v>0</v>
      </c>
      <c r="F10" s="1197">
        <f t="shared" si="2"/>
        <v>0</v>
      </c>
      <c r="G10" s="1195">
        <v>9</v>
      </c>
      <c r="H10" s="322">
        <f t="shared" si="3"/>
        <v>0</v>
      </c>
      <c r="I10" s="1198">
        <f t="shared" si="4"/>
        <v>0</v>
      </c>
      <c r="J10" s="1195">
        <v>9</v>
      </c>
      <c r="K10" s="740">
        <v>0.25</v>
      </c>
      <c r="L10" s="1199">
        <f t="shared" si="5"/>
        <v>0</v>
      </c>
      <c r="M10" s="322">
        <f t="shared" si="6"/>
        <v>0</v>
      </c>
      <c r="N10" s="1197">
        <f t="shared" si="7"/>
        <v>0</v>
      </c>
      <c r="O10" s="1197">
        <f t="shared" si="8"/>
        <v>0</v>
      </c>
      <c r="P10" s="1195">
        <v>14</v>
      </c>
      <c r="Q10" s="322">
        <f t="shared" si="9"/>
        <v>0</v>
      </c>
      <c r="R10" s="1198">
        <f t="shared" si="10"/>
        <v>0</v>
      </c>
      <c r="S10" s="1195">
        <v>9</v>
      </c>
      <c r="T10" s="740">
        <v>0.25</v>
      </c>
      <c r="U10" s="322">
        <f t="shared" si="11"/>
        <v>0</v>
      </c>
      <c r="V10" s="1198">
        <f t="shared" si="12"/>
        <v>0</v>
      </c>
      <c r="W10" s="1197">
        <f t="shared" si="13"/>
        <v>0</v>
      </c>
      <c r="X10" s="1197">
        <f t="shared" si="14"/>
        <v>0</v>
      </c>
      <c r="Y10" s="1195">
        <v>9</v>
      </c>
      <c r="Z10" s="740">
        <v>0.25</v>
      </c>
      <c r="AA10" s="1197">
        <f t="shared" si="15"/>
        <v>0</v>
      </c>
      <c r="AB10" s="1198">
        <f t="shared" si="16"/>
        <v>0</v>
      </c>
      <c r="AC10" s="1195">
        <v>9</v>
      </c>
      <c r="AD10" s="740">
        <v>0.25</v>
      </c>
      <c r="AE10" s="322">
        <f t="shared" si="17"/>
        <v>0</v>
      </c>
      <c r="AF10" s="322">
        <f t="shared" si="18"/>
        <v>0</v>
      </c>
      <c r="AG10" s="1199">
        <f t="shared" si="19"/>
        <v>0</v>
      </c>
      <c r="AH10" s="1200">
        <f>+IF(D10&gt;0,ROUND(((0.3+0.3+0.45+0.45)*D10+(0.085+0.185+AA10*0.1))*2,3),)</f>
        <v>0</v>
      </c>
    </row>
    <row r="11" spans="1:61">
      <c r="E11" s="1201">
        <f>SUM(E5:E10)</f>
        <v>6309.7150000000001</v>
      </c>
      <c r="F11" s="1202">
        <f>SUM(F5:F10)</f>
        <v>84</v>
      </c>
      <c r="I11" s="562"/>
      <c r="J11" s="562"/>
      <c r="N11" s="901">
        <f>SUM(N5:N10)</f>
        <v>2794.7240000000002</v>
      </c>
      <c r="O11" s="1202">
        <f>SUM(O5:O10)</f>
        <v>195</v>
      </c>
      <c r="W11" s="901">
        <f>SUM(W5:W10)</f>
        <v>6188.6480000000001</v>
      </c>
      <c r="X11" s="1202">
        <f>SUM(X5:X10)</f>
        <v>630.97199999999998</v>
      </c>
      <c r="AA11" s="562"/>
      <c r="AB11" s="562"/>
      <c r="AE11" s="562"/>
      <c r="AF11" s="562"/>
      <c r="AG11" s="1203">
        <f>SUM(AG5:AG10)</f>
        <v>26070.909</v>
      </c>
      <c r="AH11" s="1202">
        <f>SUM(AH5:AH10)</f>
        <v>1000</v>
      </c>
    </row>
    <row r="12" spans="1:61">
      <c r="AH12" s="562"/>
    </row>
    <row r="13" spans="1:61">
      <c r="AH13" s="562"/>
    </row>
    <row r="14" spans="1:61">
      <c r="G14" s="1204"/>
      <c r="I14" s="1204"/>
      <c r="J14" s="1204"/>
    </row>
    <row r="15" spans="1:61">
      <c r="G15" s="1204"/>
      <c r="I15" s="1204"/>
      <c r="J15" s="1204"/>
    </row>
    <row r="16" spans="1:61">
      <c r="G16" s="1204"/>
      <c r="I16" s="1204"/>
      <c r="J16" s="1204"/>
    </row>
    <row r="17" spans="1:24">
      <c r="G17" s="1204"/>
      <c r="I17" s="1192"/>
      <c r="J17" s="1204"/>
    </row>
    <row r="18" spans="1:24" ht="22.5" thickBot="1">
      <c r="G18" s="1204"/>
      <c r="I18" s="1192"/>
      <c r="J18" s="1204"/>
    </row>
    <row r="19" spans="1:24" ht="30.75">
      <c r="A19" s="2211" t="s">
        <v>286</v>
      </c>
      <c r="B19" s="2212"/>
      <c r="C19" s="2212"/>
      <c r="D19" s="2212"/>
      <c r="E19" s="2212"/>
      <c r="F19" s="2213"/>
      <c r="G19" s="2213"/>
      <c r="H19" s="2213"/>
      <c r="I19" s="1206"/>
      <c r="J19" s="1207"/>
      <c r="K19" s="885"/>
      <c r="L19" s="885"/>
      <c r="M19" s="885"/>
      <c r="N19" s="885"/>
      <c r="O19" s="885"/>
      <c r="P19" s="885"/>
      <c r="Q19" s="885"/>
      <c r="R19" s="885"/>
      <c r="S19" s="885"/>
      <c r="T19" s="885"/>
      <c r="U19" s="885"/>
      <c r="V19" s="885"/>
      <c r="W19" s="885"/>
      <c r="X19" s="885"/>
    </row>
    <row r="20" spans="1:24" ht="30.75">
      <c r="A20" s="2214"/>
      <c r="B20" s="2215" t="s">
        <v>287</v>
      </c>
      <c r="C20" s="2216"/>
      <c r="D20" s="2216"/>
      <c r="E20" s="2216"/>
      <c r="F20" s="2803">
        <f>+N11+W11+AG11</f>
        <v>35054.281000000003</v>
      </c>
      <c r="G20" s="2803"/>
      <c r="H20" s="2215" t="s">
        <v>284</v>
      </c>
      <c r="I20" s="1208"/>
      <c r="J20" s="1209"/>
      <c r="K20" s="1210"/>
      <c r="L20" s="1210"/>
      <c r="M20" s="1210"/>
      <c r="P20" s="1210"/>
      <c r="Q20" s="1210"/>
      <c r="R20" s="1210"/>
      <c r="S20" s="1210"/>
      <c r="T20" s="1210"/>
      <c r="U20" s="1210"/>
      <c r="V20" s="1210"/>
      <c r="W20" s="1210"/>
      <c r="X20" s="885"/>
    </row>
    <row r="21" spans="1:24" ht="30.75">
      <c r="A21" s="2214"/>
      <c r="B21" s="2215" t="s">
        <v>282</v>
      </c>
      <c r="C21" s="2216"/>
      <c r="D21" s="2216"/>
      <c r="E21" s="2216"/>
      <c r="F21" s="2803">
        <f>+F11+O11+X11</f>
        <v>909.97199999999998</v>
      </c>
      <c r="G21" s="2807"/>
      <c r="H21" s="2215" t="s">
        <v>32</v>
      </c>
      <c r="I21" s="1208"/>
      <c r="J21" s="1209"/>
      <c r="K21" s="1210"/>
      <c r="L21" s="1210"/>
      <c r="M21" s="1210"/>
      <c r="N21" s="1210"/>
      <c r="O21" s="1210"/>
      <c r="P21" s="1210"/>
      <c r="Q21" s="1210"/>
      <c r="R21" s="1210"/>
      <c r="S21" s="1210"/>
      <c r="T21" s="1210"/>
      <c r="U21" s="1210"/>
      <c r="V21" s="1210"/>
      <c r="W21" s="1210"/>
      <c r="X21" s="885"/>
    </row>
    <row r="22" spans="1:24" ht="30.75">
      <c r="A22" s="2214"/>
      <c r="B22" s="2215" t="s">
        <v>283</v>
      </c>
      <c r="C22" s="2216"/>
      <c r="D22" s="2216"/>
      <c r="E22" s="2216"/>
      <c r="F22" s="2814">
        <f>+AH11</f>
        <v>1000</v>
      </c>
      <c r="G22" s="2807"/>
      <c r="H22" s="2215" t="s">
        <v>31</v>
      </c>
      <c r="I22" s="1208"/>
      <c r="J22" s="1209"/>
      <c r="K22" s="1210"/>
      <c r="L22" s="1210"/>
      <c r="M22" s="1210"/>
      <c r="N22" s="1210"/>
      <c r="O22" s="1210"/>
      <c r="P22" s="1210"/>
      <c r="Q22" s="1210"/>
      <c r="R22" s="1210"/>
      <c r="S22" s="1210"/>
      <c r="T22" s="1210"/>
      <c r="U22" s="1210"/>
      <c r="V22" s="1210"/>
      <c r="W22" s="1210"/>
      <c r="X22" s="885"/>
    </row>
    <row r="23" spans="1:24" ht="30.75">
      <c r="A23" s="2214"/>
      <c r="B23" s="2215" t="s">
        <v>265</v>
      </c>
      <c r="C23" s="2216"/>
      <c r="D23" s="2216"/>
      <c r="E23" s="2216"/>
      <c r="F23" s="2807">
        <f>+ROUND(F20*25/1000,2)</f>
        <v>876.36</v>
      </c>
      <c r="G23" s="2807"/>
      <c r="H23" s="2215" t="s">
        <v>284</v>
      </c>
      <c r="I23" s="1208"/>
      <c r="J23" s="1209"/>
      <c r="K23" s="1210"/>
      <c r="L23" s="1210"/>
      <c r="M23" s="1210"/>
      <c r="N23" s="1210"/>
      <c r="O23" s="1210"/>
      <c r="P23" s="1210"/>
      <c r="Q23" s="1210"/>
      <c r="R23" s="1210"/>
      <c r="S23" s="1210"/>
      <c r="T23" s="1210"/>
      <c r="U23" s="1210"/>
      <c r="V23" s="1210"/>
      <c r="W23" s="1210"/>
      <c r="X23" s="885"/>
    </row>
    <row r="24" spans="1:24" ht="30.75">
      <c r="A24" s="2214"/>
      <c r="B24" s="2215" t="s">
        <v>267</v>
      </c>
      <c r="C24" s="2216"/>
      <c r="D24" s="2216"/>
      <c r="E24" s="2216"/>
      <c r="F24" s="2807">
        <f>ROUND(0.25*F22,)</f>
        <v>250</v>
      </c>
      <c r="G24" s="2807"/>
      <c r="H24" s="2215" t="s">
        <v>284</v>
      </c>
      <c r="I24" s="1208"/>
      <c r="J24" s="1209"/>
      <c r="K24" s="1210"/>
      <c r="L24" s="1210"/>
      <c r="M24" s="1210"/>
      <c r="N24" s="1210"/>
      <c r="O24" s="1210"/>
      <c r="P24" s="1210"/>
      <c r="Q24" s="1210"/>
      <c r="R24" s="1210"/>
      <c r="S24" s="1210"/>
      <c r="T24" s="1210"/>
      <c r="U24" s="1210"/>
      <c r="V24" s="1210"/>
      <c r="W24" s="1210"/>
      <c r="X24" s="885"/>
    </row>
    <row r="25" spans="1:24" ht="30.75">
      <c r="A25" s="2214"/>
      <c r="B25" s="2215" t="s">
        <v>268</v>
      </c>
      <c r="C25" s="2216"/>
      <c r="D25" s="2216"/>
      <c r="E25" s="2216"/>
      <c r="F25" s="2807">
        <f>+ROUNDUP(E5/6,)</f>
        <v>1052</v>
      </c>
      <c r="G25" s="2807"/>
      <c r="H25" s="2215" t="s">
        <v>285</v>
      </c>
      <c r="I25" s="1208"/>
      <c r="J25" s="1209"/>
      <c r="K25" s="1210"/>
      <c r="L25" s="1210"/>
      <c r="M25" s="1210"/>
      <c r="N25" s="1210"/>
      <c r="O25" s="1210"/>
      <c r="P25" s="1210"/>
      <c r="Q25" s="1210"/>
      <c r="R25" s="1210"/>
      <c r="S25" s="1210"/>
      <c r="T25" s="1210"/>
      <c r="U25" s="1210"/>
      <c r="V25" s="1210"/>
      <c r="W25" s="1210"/>
      <c r="X25" s="885"/>
    </row>
    <row r="26" spans="1:24" ht="31.5" thickBot="1">
      <c r="A26" s="2217"/>
      <c r="B26" s="2218" t="s">
        <v>270</v>
      </c>
      <c r="C26" s="2219"/>
      <c r="D26" s="2219"/>
      <c r="E26" s="2219"/>
      <c r="F26" s="2813">
        <f>ROUND(0.3*0.3*C5*0.5*1*F25,2)</f>
        <v>71.010000000000005</v>
      </c>
      <c r="G26" s="2813"/>
      <c r="H26" s="2218" t="s">
        <v>32</v>
      </c>
      <c r="I26" s="1212"/>
      <c r="J26" s="1209"/>
      <c r="K26" s="1210"/>
      <c r="L26" s="1210"/>
      <c r="M26" s="1210"/>
      <c r="N26" s="1210"/>
      <c r="O26" s="1210"/>
      <c r="P26" s="1210"/>
      <c r="Q26" s="1210"/>
      <c r="R26" s="1210"/>
      <c r="S26" s="1210"/>
      <c r="T26" s="1210"/>
      <c r="U26" s="1210"/>
      <c r="V26" s="1210"/>
      <c r="W26" s="1210"/>
      <c r="X26" s="885"/>
    </row>
  </sheetData>
  <mergeCells count="21">
    <mergeCell ref="F23:G23"/>
    <mergeCell ref="F24:G24"/>
    <mergeCell ref="F25:G25"/>
    <mergeCell ref="F26:G26"/>
    <mergeCell ref="F22:G22"/>
    <mergeCell ref="F20:G20"/>
    <mergeCell ref="O2:W2"/>
    <mergeCell ref="F21:G21"/>
    <mergeCell ref="AH2:AH4"/>
    <mergeCell ref="G3:N3"/>
    <mergeCell ref="P3:W3"/>
    <mergeCell ref="Y3:AB3"/>
    <mergeCell ref="AC3:AF3"/>
    <mergeCell ref="X2:AG2"/>
    <mergeCell ref="AG3:AG4"/>
    <mergeCell ref="F2:N2"/>
    <mergeCell ref="E2:E4"/>
    <mergeCell ref="A2:A4"/>
    <mergeCell ref="B2:B4"/>
    <mergeCell ref="C2:C4"/>
    <mergeCell ref="D2:D4"/>
  </mergeCells>
  <phoneticPr fontId="0" type="noConversion"/>
  <pageMargins left="0.7" right="0.19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Y91"/>
  <sheetViews>
    <sheetView topLeftCell="A40" zoomScale="90" zoomScaleNormal="90" workbookViewId="0">
      <selection activeCell="G62" sqref="G62"/>
    </sheetView>
  </sheetViews>
  <sheetFormatPr defaultColWidth="9.140625" defaultRowHeight="21.75"/>
  <cols>
    <col min="1" max="2" width="9.140625" style="1055"/>
    <col min="3" max="3" width="9.7109375" style="1055" customWidth="1"/>
    <col min="4" max="4" width="9.85546875" style="1055" bestFit="1" customWidth="1"/>
    <col min="5" max="6" width="9.140625" style="1055"/>
    <col min="7" max="7" width="9.5703125" style="1055" customWidth="1"/>
    <col min="8" max="9" width="9.140625" style="1055"/>
    <col min="10" max="10" width="9.7109375" style="1055" customWidth="1"/>
    <col min="11" max="11" width="9.140625" style="1055"/>
    <col min="12" max="12" width="2" style="1474" customWidth="1"/>
    <col min="13" max="16384" width="9.140625" style="1055"/>
  </cols>
  <sheetData>
    <row r="1" spans="1:25" ht="27.75">
      <c r="A1" s="1472" t="str">
        <f>+'1.ต้นทุนถนน AC.'!D6</f>
        <v xml:space="preserve">บำรุงพิเศษ ซ่อมสร้างผิวทาง Asphaltic Concrete </v>
      </c>
      <c r="B1" s="1473"/>
      <c r="C1" s="1473"/>
      <c r="D1" s="1473"/>
      <c r="E1" s="1473"/>
      <c r="F1" s="1473"/>
      <c r="G1" s="1473"/>
      <c r="H1" s="1473"/>
      <c r="I1" s="1473"/>
      <c r="J1" s="1473"/>
      <c r="K1" s="1473"/>
      <c r="N1" s="2827" t="s">
        <v>551</v>
      </c>
      <c r="O1" s="2827"/>
      <c r="P1" s="2827" t="s">
        <v>669</v>
      </c>
      <c r="Q1" s="2827"/>
      <c r="R1" s="2827"/>
      <c r="S1" s="2827" t="s">
        <v>671</v>
      </c>
      <c r="T1" s="2827"/>
      <c r="U1" s="2827"/>
      <c r="V1" s="2827" t="s">
        <v>675</v>
      </c>
      <c r="W1" s="2827"/>
      <c r="X1" s="2827"/>
    </row>
    <row r="2" spans="1:25">
      <c r="A2" s="1055" t="str">
        <f>+ปร.5_Roads!A6</f>
        <v xml:space="preserve">รหัสสายทาง   </v>
      </c>
      <c r="B2" s="1055" t="str">
        <f>+'4.ต้นทุนระบายน้ำ'!C8</f>
        <v>ปน.4031</v>
      </c>
      <c r="C2" s="1055" t="str">
        <f>+'4.ต้นทุนระบายน้ำ'!F8</f>
        <v>แยกทางหลวงหมายเลข 4157-บ้านปาตา</v>
      </c>
      <c r="G2" s="1055" t="str">
        <f>+ปร.5_Roads!C7</f>
        <v>อำเภอ  ปะนาเระ,ยะหริ่ง จังหวัด ปัตตานี</v>
      </c>
      <c r="J2" s="1055" t="str">
        <f>+ปร.5_Roads!I5</f>
        <v>ปีงบประมาณ</v>
      </c>
      <c r="K2" s="1476">
        <f>+ปร.5_Roads!J5</f>
        <v>2559</v>
      </c>
      <c r="N2" s="1475" t="s">
        <v>667</v>
      </c>
      <c r="O2" s="1475" t="s">
        <v>668</v>
      </c>
      <c r="P2" s="1475" t="s">
        <v>670</v>
      </c>
      <c r="Q2" s="1475" t="s">
        <v>425</v>
      </c>
      <c r="R2" s="1475" t="s">
        <v>426</v>
      </c>
      <c r="S2" s="1475" t="s">
        <v>670</v>
      </c>
      <c r="T2" s="1475" t="s">
        <v>425</v>
      </c>
      <c r="U2" s="1475" t="s">
        <v>426</v>
      </c>
      <c r="V2" s="1475" t="s">
        <v>670</v>
      </c>
      <c r="W2" s="1475" t="s">
        <v>425</v>
      </c>
      <c r="X2" s="1475" t="s">
        <v>426</v>
      </c>
    </row>
    <row r="3" spans="1:25" ht="27.75">
      <c r="D3" s="1501" t="s">
        <v>666</v>
      </c>
      <c r="N3" s="1478">
        <v>0.6</v>
      </c>
      <c r="O3" s="1478">
        <v>7.5</v>
      </c>
      <c r="P3" s="1479">
        <v>195</v>
      </c>
      <c r="Q3" s="1479">
        <v>300</v>
      </c>
      <c r="R3" s="1479">
        <v>405</v>
      </c>
      <c r="S3" s="1479">
        <v>195</v>
      </c>
      <c r="T3" s="1479">
        <v>195</v>
      </c>
      <c r="U3" s="1479">
        <v>195</v>
      </c>
      <c r="V3" s="1478"/>
      <c r="W3" s="1479"/>
      <c r="X3" s="1478"/>
    </row>
    <row r="4" spans="1:25">
      <c r="A4" s="2822" t="s">
        <v>429</v>
      </c>
      <c r="B4" s="2822"/>
      <c r="C4" s="2822"/>
      <c r="D4" s="2822"/>
      <c r="E4" s="2822"/>
      <c r="F4" s="2822" t="s">
        <v>661</v>
      </c>
      <c r="G4" s="2822"/>
      <c r="H4" s="2822"/>
      <c r="I4" s="2821" t="s">
        <v>430</v>
      </c>
      <c r="J4" s="2821" t="s">
        <v>1786</v>
      </c>
      <c r="K4" s="2821" t="s">
        <v>1787</v>
      </c>
      <c r="N4" s="1480">
        <v>0.8</v>
      </c>
      <c r="O4" s="1480">
        <v>9.5</v>
      </c>
      <c r="P4" s="1481">
        <v>259</v>
      </c>
      <c r="Q4" s="1481">
        <v>398</v>
      </c>
      <c r="R4" s="1481">
        <v>537</v>
      </c>
      <c r="S4" s="1481">
        <v>239</v>
      </c>
      <c r="T4" s="1481">
        <v>239</v>
      </c>
      <c r="U4" s="1481">
        <v>239</v>
      </c>
      <c r="V4" s="1480">
        <v>7.16</v>
      </c>
      <c r="W4" s="1480">
        <f>+V4*2</f>
        <v>14.32</v>
      </c>
      <c r="X4" s="1480">
        <f>+V4*3</f>
        <v>21.48</v>
      </c>
    </row>
    <row r="5" spans="1:25" ht="24">
      <c r="A5" s="1532" t="s">
        <v>431</v>
      </c>
      <c r="B5" s="1532" t="s">
        <v>416</v>
      </c>
      <c r="C5" s="1484" t="s">
        <v>432</v>
      </c>
      <c r="D5" s="1484" t="s">
        <v>678</v>
      </c>
      <c r="E5" s="1532" t="s">
        <v>294</v>
      </c>
      <c r="F5" s="1484" t="s">
        <v>689</v>
      </c>
      <c r="G5" s="1484" t="s">
        <v>672</v>
      </c>
      <c r="H5" s="1532" t="s">
        <v>294</v>
      </c>
      <c r="I5" s="2821"/>
      <c r="J5" s="2821"/>
      <c r="K5" s="2821"/>
      <c r="N5" s="1480">
        <v>1</v>
      </c>
      <c r="O5" s="1480">
        <v>11</v>
      </c>
      <c r="P5" s="1481">
        <v>322</v>
      </c>
      <c r="Q5" s="1481">
        <v>494</v>
      </c>
      <c r="R5" s="1481">
        <v>666</v>
      </c>
      <c r="S5" s="1481">
        <v>282</v>
      </c>
      <c r="T5" s="1481">
        <v>282</v>
      </c>
      <c r="U5" s="1481">
        <v>282</v>
      </c>
      <c r="V5" s="1480">
        <v>11.44</v>
      </c>
      <c r="W5" s="1480">
        <f>+V5*2</f>
        <v>22.88</v>
      </c>
      <c r="X5" s="1480">
        <f>+V5*3</f>
        <v>34.32</v>
      </c>
    </row>
    <row r="6" spans="1:25" ht="24">
      <c r="A6" s="1533">
        <v>1</v>
      </c>
      <c r="B6" s="1524">
        <f>+VLOOKUP(A6,N3:O7,2)</f>
        <v>11</v>
      </c>
      <c r="C6" s="1534">
        <v>2</v>
      </c>
      <c r="D6" s="1533">
        <v>9</v>
      </c>
      <c r="E6" s="1489">
        <f>ROUND((22/7*(A6+(B6+B6)/100)^2)/4,3)*C6</f>
        <v>2.3380000000000001</v>
      </c>
      <c r="F6" s="1535">
        <f>+VLOOKUP($A$6,N10:P14,3)/100</f>
        <v>4.9400000000000004</v>
      </c>
      <c r="G6" s="1535">
        <f>+(VLOOKUP($A$6,N10:P14,2)+135)/100</f>
        <v>4.17</v>
      </c>
      <c r="H6" s="1536">
        <f>ROUND(G6*F6,3)</f>
        <v>20.6</v>
      </c>
      <c r="I6" s="1536">
        <f>H6-E6</f>
        <v>18.262</v>
      </c>
      <c r="J6" s="1537">
        <f>ROUND(I6*0.2,3)</f>
        <v>3.6520000000000001</v>
      </c>
      <c r="K6" s="1538">
        <f>+G6*0.25*0.15*2</f>
        <v>0.31274999999999997</v>
      </c>
      <c r="N6" s="1480">
        <v>1.2</v>
      </c>
      <c r="O6" s="1480">
        <v>12.5</v>
      </c>
      <c r="P6" s="1481">
        <v>385</v>
      </c>
      <c r="Q6" s="1481">
        <v>590</v>
      </c>
      <c r="R6" s="1481">
        <v>795</v>
      </c>
      <c r="S6" s="1481">
        <v>325</v>
      </c>
      <c r="T6" s="1481">
        <v>325</v>
      </c>
      <c r="U6" s="1481">
        <v>325</v>
      </c>
      <c r="V6" s="1480">
        <v>16.760000000000002</v>
      </c>
      <c r="W6" s="1480">
        <f>+V6*2</f>
        <v>33.520000000000003</v>
      </c>
      <c r="X6" s="1480">
        <f>+V6*3</f>
        <v>50.28</v>
      </c>
    </row>
    <row r="7" spans="1:25" s="1493" customFormat="1" ht="23.25" customHeight="1">
      <c r="A7" s="2824" t="s">
        <v>685</v>
      </c>
      <c r="B7" s="2825"/>
      <c r="C7" s="2825"/>
      <c r="D7" s="2825"/>
      <c r="E7" s="2826"/>
      <c r="F7" s="2823" t="s">
        <v>462</v>
      </c>
      <c r="G7" s="2823"/>
      <c r="H7" s="2823"/>
      <c r="I7" s="2823"/>
      <c r="J7" s="2823"/>
      <c r="K7" s="2823"/>
      <c r="L7" s="1492"/>
      <c r="N7" s="1494">
        <v>1.5</v>
      </c>
      <c r="O7" s="1494">
        <v>15</v>
      </c>
      <c r="P7" s="1495">
        <v>480</v>
      </c>
      <c r="Q7" s="1495">
        <v>735</v>
      </c>
      <c r="R7" s="1495">
        <v>990</v>
      </c>
      <c r="S7" s="1495">
        <v>390</v>
      </c>
      <c r="T7" s="1495">
        <v>390</v>
      </c>
      <c r="U7" s="1495">
        <v>390</v>
      </c>
      <c r="V7" s="1494">
        <v>24.52</v>
      </c>
      <c r="W7" s="1496">
        <f>+V7*2</f>
        <v>49.04</v>
      </c>
      <c r="X7" s="1496">
        <f>+V7*3</f>
        <v>73.56</v>
      </c>
    </row>
    <row r="8" spans="1:25" s="1493" customFormat="1" ht="24.75">
      <c r="A8" s="1484" t="s">
        <v>376</v>
      </c>
      <c r="B8" s="1484" t="s">
        <v>439</v>
      </c>
      <c r="C8" s="1484" t="s">
        <v>438</v>
      </c>
      <c r="D8" s="1484" t="s">
        <v>1788</v>
      </c>
      <c r="E8" s="1484" t="s">
        <v>283</v>
      </c>
      <c r="F8" s="1484" t="s">
        <v>280</v>
      </c>
      <c r="G8" s="1485" t="s">
        <v>281</v>
      </c>
      <c r="H8" s="1484" t="s">
        <v>280</v>
      </c>
      <c r="I8" s="1485" t="s">
        <v>281</v>
      </c>
      <c r="J8" s="1484" t="s">
        <v>280</v>
      </c>
      <c r="K8" s="1485" t="s">
        <v>281</v>
      </c>
      <c r="L8" s="1492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</row>
    <row r="9" spans="1:25" s="1493" customFormat="1" ht="24">
      <c r="A9" s="1487">
        <v>0.2</v>
      </c>
      <c r="B9" s="1487">
        <v>0.6</v>
      </c>
      <c r="C9" s="1487">
        <f>+F6</f>
        <v>4.9400000000000004</v>
      </c>
      <c r="D9" s="1539">
        <f>ROUND(B9*A9*C9,3)</f>
        <v>0.59299999999999997</v>
      </c>
      <c r="E9" s="1475">
        <f>B9*C9*2</f>
        <v>5.9279999999999999</v>
      </c>
      <c r="F9" s="1491">
        <f>0.6+1.35</f>
        <v>1.9500000000000002</v>
      </c>
      <c r="G9" s="1475">
        <f>ROUND((F6+0.5)/0.2+1,)</f>
        <v>28</v>
      </c>
      <c r="H9" s="1491">
        <f>G9*F9</f>
        <v>54.600000000000009</v>
      </c>
      <c r="I9" s="1491">
        <f>+F6+0.5</f>
        <v>5.44</v>
      </c>
      <c r="J9" s="1475">
        <f>ROUND(G6/0.2+1,)+ROUND(0.6/0.2+1,)*2</f>
        <v>30</v>
      </c>
      <c r="K9" s="1491">
        <f>J9*I9</f>
        <v>163.20000000000002</v>
      </c>
      <c r="L9" s="1492"/>
      <c r="N9" s="1055"/>
      <c r="O9" s="1475" t="s">
        <v>674</v>
      </c>
      <c r="P9" s="1475" t="s">
        <v>673</v>
      </c>
      <c r="Q9" s="1497" t="s">
        <v>675</v>
      </c>
      <c r="R9" s="171"/>
      <c r="S9" s="171"/>
      <c r="T9" s="171"/>
      <c r="U9" s="171"/>
      <c r="V9" s="171"/>
      <c r="W9" s="171"/>
      <c r="X9" s="171"/>
      <c r="Y9" s="171"/>
    </row>
    <row r="10" spans="1:25" s="1493" customFormat="1">
      <c r="A10" s="2818" t="s">
        <v>462</v>
      </c>
      <c r="B10" s="2819"/>
      <c r="C10" s="2820"/>
      <c r="D10" s="2818" t="s">
        <v>662</v>
      </c>
      <c r="E10" s="2819"/>
      <c r="F10" s="2820"/>
      <c r="G10" s="1502" t="s">
        <v>677</v>
      </c>
      <c r="L10" s="1492"/>
      <c r="N10" s="1498">
        <v>0.6</v>
      </c>
      <c r="O10" s="1499">
        <f>+IF($C$6=1,S3,IF($C$6=2,T3,U3))</f>
        <v>195</v>
      </c>
      <c r="P10" s="1499">
        <f>+IF($C$6=1,P3,IF($C$6=2,Q3,R3))</f>
        <v>300</v>
      </c>
      <c r="Q10" s="1499">
        <f>+IF($C$6=1,V3,IF($C$6=2,W3,X3))</f>
        <v>0</v>
      </c>
      <c r="R10" s="171"/>
      <c r="S10" s="171"/>
      <c r="T10" s="171"/>
      <c r="U10" s="171"/>
      <c r="V10" s="171"/>
      <c r="W10" s="171"/>
      <c r="X10" s="171"/>
      <c r="Y10" s="171"/>
    </row>
    <row r="11" spans="1:25" s="1493" customFormat="1">
      <c r="A11" s="1484" t="s">
        <v>280</v>
      </c>
      <c r="B11" s="1485" t="s">
        <v>281</v>
      </c>
      <c r="C11" s="1484" t="s">
        <v>28</v>
      </c>
      <c r="D11" s="1484" t="s">
        <v>280</v>
      </c>
      <c r="E11" s="1485" t="s">
        <v>281</v>
      </c>
      <c r="F11" s="1484" t="s">
        <v>28</v>
      </c>
      <c r="H11" s="1540">
        <f>+VLOOKUP($A$6,N10:Q14,4)</f>
        <v>22.88</v>
      </c>
      <c r="I11" s="1055" t="s">
        <v>182</v>
      </c>
      <c r="L11" s="1492"/>
      <c r="N11" s="1500">
        <v>0.8</v>
      </c>
      <c r="O11" s="1504">
        <f>+IF($C$6=1,S4,IF($C$6=2,T4,U4))</f>
        <v>239</v>
      </c>
      <c r="P11" s="1504">
        <f>+IF($C$6=1,P4,IF($C$6=2,Q4,R4))</f>
        <v>398</v>
      </c>
      <c r="Q11" s="1504">
        <f>+IF($C$6=1,V4,IF($C$6=2,W4,X4))</f>
        <v>14.32</v>
      </c>
    </row>
    <row r="12" spans="1:25" s="1493" customFormat="1">
      <c r="A12" s="1491">
        <f>+G6</f>
        <v>4.17</v>
      </c>
      <c r="B12" s="1475">
        <f>ROUND(F6/0.2+1,)+ROUND(0.6/0.2+1,)</f>
        <v>30</v>
      </c>
      <c r="C12" s="1491">
        <f>B12*A12</f>
        <v>125.1</v>
      </c>
      <c r="D12" s="1491">
        <f>+F6</f>
        <v>4.9400000000000004</v>
      </c>
      <c r="E12" s="1475">
        <v>3</v>
      </c>
      <c r="F12" s="1491">
        <f>E12*D12</f>
        <v>14.82</v>
      </c>
      <c r="L12" s="1492"/>
      <c r="N12" s="1500">
        <v>1</v>
      </c>
      <c r="O12" s="1504">
        <f>+IF($C$6=1,S5,IF($C$6=2,T5,U5))</f>
        <v>282</v>
      </c>
      <c r="P12" s="1504">
        <f>+IF($C$6=1,P5,IF($C$6=2,Q5,R5))</f>
        <v>494</v>
      </c>
      <c r="Q12" s="1504">
        <f>+IF($C$6=1,V5,IF($C$6=2,W5,X5))</f>
        <v>22.88</v>
      </c>
    </row>
    <row r="13" spans="1:25" s="1493" customFormat="1">
      <c r="A13" s="1541" t="s">
        <v>676</v>
      </c>
      <c r="D13" s="1542" t="s">
        <v>22</v>
      </c>
      <c r="E13" s="1543">
        <f>+H9+K9+C12</f>
        <v>342.9</v>
      </c>
      <c r="F13" s="1477" t="s">
        <v>697</v>
      </c>
      <c r="G13" s="1541"/>
      <c r="I13" s="1542" t="s">
        <v>22</v>
      </c>
      <c r="J13" s="1543">
        <f>+F12</f>
        <v>14.82</v>
      </c>
      <c r="K13" s="1477" t="s">
        <v>182</v>
      </c>
      <c r="L13" s="1492"/>
      <c r="N13" s="1500">
        <v>1.2</v>
      </c>
      <c r="O13" s="1504">
        <f>+IF($C$6=1,S6,IF($C$6=2,T6,U6))</f>
        <v>325</v>
      </c>
      <c r="P13" s="1504">
        <f>+IF($C$6=1,P6,IF($C$6=2,Q6,R6))</f>
        <v>590</v>
      </c>
      <c r="Q13" s="1504">
        <f>+IF($C$6=1,V6,IF($C$6=2,W6,X6))</f>
        <v>33.520000000000003</v>
      </c>
    </row>
    <row r="14" spans="1:25" s="1493" customFormat="1">
      <c r="A14" s="1544" t="s">
        <v>680</v>
      </c>
      <c r="D14" s="1542" t="s">
        <v>22</v>
      </c>
      <c r="E14" s="1545">
        <f>J6+D9+K6</f>
        <v>4.5577500000000004</v>
      </c>
      <c r="F14" s="1546" t="s">
        <v>694</v>
      </c>
      <c r="I14" s="1542" t="s">
        <v>22</v>
      </c>
      <c r="J14" s="1547">
        <f>E9</f>
        <v>5.9279999999999999</v>
      </c>
      <c r="K14" s="1546" t="s">
        <v>31</v>
      </c>
      <c r="L14" s="1492"/>
      <c r="N14" s="1503">
        <v>1.5</v>
      </c>
      <c r="O14" s="1505">
        <f>+IF($C$6=1,S7,IF($C$6=2,T7,U7))</f>
        <v>390</v>
      </c>
      <c r="P14" s="1505">
        <f>+IF($C$6=1,P7,IF($C$6=2,Q7,R7))</f>
        <v>735</v>
      </c>
      <c r="Q14" s="1505">
        <f>+IF($C$6=1,V7,IF($C$6=2,W7,X7))</f>
        <v>49.04</v>
      </c>
    </row>
    <row r="15" spans="1:25">
      <c r="A15" s="2822" t="s">
        <v>679</v>
      </c>
      <c r="B15" s="2822"/>
      <c r="C15" s="2822"/>
      <c r="D15" s="2818" t="s">
        <v>462</v>
      </c>
      <c r="E15" s="2819"/>
      <c r="F15" s="2819"/>
      <c r="G15" s="2819"/>
      <c r="H15" s="2819"/>
      <c r="I15" s="2819"/>
      <c r="J15" s="2819"/>
      <c r="K15" s="2820"/>
    </row>
    <row r="16" spans="1:25" ht="24.75">
      <c r="A16" s="1484" t="s">
        <v>376</v>
      </c>
      <c r="B16" s="1484" t="s">
        <v>438</v>
      </c>
      <c r="C16" s="1484" t="s">
        <v>1788</v>
      </c>
      <c r="D16" s="1484" t="s">
        <v>690</v>
      </c>
      <c r="E16" s="1548" t="s">
        <v>22</v>
      </c>
      <c r="F16" s="1484" t="s">
        <v>691</v>
      </c>
      <c r="G16" s="1548" t="s">
        <v>22</v>
      </c>
      <c r="H16" s="1484" t="s">
        <v>691</v>
      </c>
      <c r="I16" s="1548" t="s">
        <v>22</v>
      </c>
      <c r="J16" s="1484" t="s">
        <v>438</v>
      </c>
      <c r="K16" s="1548" t="s">
        <v>22</v>
      </c>
    </row>
    <row r="17" spans="1:16">
      <c r="A17" s="1487">
        <f>+F6</f>
        <v>4.9400000000000004</v>
      </c>
      <c r="B17" s="1487">
        <f>0.35+0.9+1.27</f>
        <v>2.52</v>
      </c>
      <c r="C17" s="1489">
        <f>ROUND(B17*A17*0.2+B17*0.25*0.15*2,3)</f>
        <v>2.6789999999999998</v>
      </c>
      <c r="D17" s="1491">
        <f>+A17-1.2+0.84*2</f>
        <v>5.42</v>
      </c>
      <c r="E17" s="1475">
        <f>ROUND((A17-1.2)/0.2+1,)*2</f>
        <v>40</v>
      </c>
      <c r="F17" s="1491">
        <f>+A17-1.2</f>
        <v>3.74</v>
      </c>
      <c r="G17" s="1475">
        <f>ROUND((B17)/0.2+1,)</f>
        <v>14</v>
      </c>
      <c r="H17" s="1491">
        <f>+A17-1.2+0.85*2</f>
        <v>5.44</v>
      </c>
      <c r="I17" s="1475">
        <f>ROUND((B17)/0.2+1,)</f>
        <v>14</v>
      </c>
      <c r="J17" s="1491">
        <v>1</v>
      </c>
      <c r="K17" s="1475">
        <f>ROUND(B17/0.2+1,)</f>
        <v>14</v>
      </c>
    </row>
    <row r="18" spans="1:16">
      <c r="A18" s="1541" t="s">
        <v>676</v>
      </c>
      <c r="B18" s="1541"/>
      <c r="D18" s="1549" t="s">
        <v>22</v>
      </c>
      <c r="E18" s="1543">
        <f>E17*D17+G17*F17+I17*H17+K17*J17</f>
        <v>359.32000000000005</v>
      </c>
      <c r="F18" s="1477" t="s">
        <v>697</v>
      </c>
      <c r="I18" s="1549" t="s">
        <v>22</v>
      </c>
      <c r="J18" s="1543">
        <f>+(A17-1.2)*2</f>
        <v>7.48</v>
      </c>
      <c r="K18" s="1477" t="s">
        <v>182</v>
      </c>
    </row>
    <row r="19" spans="1:16">
      <c r="A19" s="1544" t="s">
        <v>680</v>
      </c>
      <c r="B19" s="1541"/>
      <c r="D19" s="1542" t="s">
        <v>22</v>
      </c>
      <c r="E19" s="1545">
        <f>C17</f>
        <v>2.6789999999999998</v>
      </c>
      <c r="F19" s="1546" t="s">
        <v>32</v>
      </c>
    </row>
    <row r="20" spans="1:16">
      <c r="A20" s="2824" t="s">
        <v>684</v>
      </c>
      <c r="B20" s="2825"/>
      <c r="C20" s="2825"/>
      <c r="D20" s="2826"/>
      <c r="E20" s="2824" t="s">
        <v>683</v>
      </c>
      <c r="F20" s="2825"/>
      <c r="G20" s="2825"/>
      <c r="H20" s="2826"/>
      <c r="I20" s="2818" t="s">
        <v>462</v>
      </c>
      <c r="J20" s="2819"/>
      <c r="K20" s="2820"/>
    </row>
    <row r="21" spans="1:16" ht="24.75">
      <c r="A21" s="1484" t="s">
        <v>294</v>
      </c>
      <c r="B21" s="1484" t="s">
        <v>663</v>
      </c>
      <c r="C21" s="1484" t="s">
        <v>1788</v>
      </c>
      <c r="D21" s="1484" t="s">
        <v>283</v>
      </c>
      <c r="E21" s="1484" t="s">
        <v>681</v>
      </c>
      <c r="F21" s="1484" t="s">
        <v>682</v>
      </c>
      <c r="G21" s="1484" t="s">
        <v>1788</v>
      </c>
      <c r="H21" s="1484" t="s">
        <v>283</v>
      </c>
      <c r="I21" s="1484" t="s">
        <v>438</v>
      </c>
      <c r="J21" s="1548" t="s">
        <v>22</v>
      </c>
      <c r="K21" s="1548" t="s">
        <v>28</v>
      </c>
    </row>
    <row r="22" spans="1:16">
      <c r="A22" s="1487">
        <v>0.36</v>
      </c>
      <c r="B22" s="1487">
        <f>+C9-1.2+0.85*2</f>
        <v>5.44</v>
      </c>
      <c r="C22" s="1488">
        <f>+ROUND(A22*(A17-0.6)+0.2*1*(A17-1.2)+0.85*2*0.15,3)</f>
        <v>2.5649999999999999</v>
      </c>
      <c r="D22" s="1489">
        <f>0.25*A17*2</f>
        <v>2.4700000000000002</v>
      </c>
      <c r="E22" s="1533">
        <v>12</v>
      </c>
      <c r="F22" s="1487">
        <f>ROUND(E22-G6-B17,)</f>
        <v>5</v>
      </c>
      <c r="G22" s="1487">
        <f>C22*F22</f>
        <v>12.824999999999999</v>
      </c>
      <c r="H22" s="1487">
        <f>D22*G22</f>
        <v>31.67775</v>
      </c>
      <c r="I22" s="1491">
        <f>B22</f>
        <v>5.44</v>
      </c>
      <c r="J22" s="1475">
        <f>ROUND(1/0.2+1,)</f>
        <v>6</v>
      </c>
      <c r="K22" s="1491">
        <f>J22*I22</f>
        <v>32.64</v>
      </c>
      <c r="M22" s="171"/>
      <c r="N22" s="171"/>
      <c r="O22" s="171"/>
      <c r="P22" s="171"/>
    </row>
    <row r="23" spans="1:16">
      <c r="A23" s="2818" t="s">
        <v>462</v>
      </c>
      <c r="B23" s="2819"/>
      <c r="C23" s="2819"/>
      <c r="D23" s="2819"/>
      <c r="E23" s="2819"/>
      <c r="F23" s="2819"/>
      <c r="G23" s="2820"/>
      <c r="H23" s="2818" t="s">
        <v>461</v>
      </c>
      <c r="I23" s="2819"/>
      <c r="J23" s="2820"/>
      <c r="M23" s="171"/>
      <c r="N23" s="171"/>
      <c r="O23" s="171"/>
      <c r="P23" s="171"/>
    </row>
    <row r="24" spans="1:16">
      <c r="A24" s="1484" t="s">
        <v>280</v>
      </c>
      <c r="B24" s="1485" t="s">
        <v>281</v>
      </c>
      <c r="C24" s="1483" t="s">
        <v>28</v>
      </c>
      <c r="D24" s="1484" t="s">
        <v>280</v>
      </c>
      <c r="E24" s="1485" t="s">
        <v>281</v>
      </c>
      <c r="F24" s="1483" t="s">
        <v>28</v>
      </c>
      <c r="G24" s="1483" t="s">
        <v>655</v>
      </c>
      <c r="H24" s="1484" t="s">
        <v>280</v>
      </c>
      <c r="I24" s="1485" t="s">
        <v>281</v>
      </c>
      <c r="J24" s="1484" t="s">
        <v>28</v>
      </c>
      <c r="M24" s="171"/>
      <c r="N24" s="171"/>
      <c r="O24" s="171"/>
      <c r="P24" s="171"/>
    </row>
    <row r="25" spans="1:16">
      <c r="A25" s="1491">
        <v>1</v>
      </c>
      <c r="B25" s="1475">
        <f>ROUND(B22/0.2+1,)</f>
        <v>28</v>
      </c>
      <c r="C25" s="1491">
        <f>B25*A25</f>
        <v>28</v>
      </c>
      <c r="D25" s="1491">
        <f>0.35+0.6*2+0.9+1.3+0.45</f>
        <v>4.2</v>
      </c>
      <c r="E25" s="1475">
        <f>ROUND((A17-1.2)/0.2+1,)</f>
        <v>20</v>
      </c>
      <c r="F25" s="1491">
        <f>E25*D25</f>
        <v>84</v>
      </c>
      <c r="G25" s="1491">
        <f>F25+C25+K22</f>
        <v>144.63999999999999</v>
      </c>
      <c r="H25" s="1491">
        <f>+A17-0.8</f>
        <v>4.1400000000000006</v>
      </c>
      <c r="I25" s="1475">
        <v>6</v>
      </c>
      <c r="J25" s="1491">
        <f>I25*H25</f>
        <v>24.840000000000003</v>
      </c>
      <c r="M25" s="171"/>
      <c r="N25" s="171"/>
      <c r="O25" s="171"/>
      <c r="P25" s="171"/>
    </row>
    <row r="26" spans="1:16">
      <c r="A26" s="1541" t="s">
        <v>676</v>
      </c>
      <c r="B26" s="1550"/>
      <c r="C26" s="1551"/>
      <c r="D26" s="1549" t="s">
        <v>22</v>
      </c>
      <c r="E26" s="1552">
        <f>+G25</f>
        <v>144.63999999999999</v>
      </c>
      <c r="F26" s="1477" t="s">
        <v>695</v>
      </c>
      <c r="I26" s="1549" t="s">
        <v>22</v>
      </c>
      <c r="J26" s="1553">
        <f>+J25</f>
        <v>24.840000000000003</v>
      </c>
      <c r="K26" s="1477" t="s">
        <v>182</v>
      </c>
      <c r="M26" s="171"/>
      <c r="N26" s="171"/>
      <c r="O26" s="171"/>
      <c r="P26" s="171"/>
    </row>
    <row r="27" spans="1:16">
      <c r="A27" s="1544" t="s">
        <v>680</v>
      </c>
      <c r="B27" s="1493"/>
      <c r="C27" s="1551"/>
      <c r="D27" s="1542" t="s">
        <v>22</v>
      </c>
      <c r="E27" s="1545">
        <f>G22</f>
        <v>12.824999999999999</v>
      </c>
      <c r="F27" s="1546" t="s">
        <v>694</v>
      </c>
      <c r="I27" s="1542" t="s">
        <v>22</v>
      </c>
      <c r="J27" s="1545">
        <f>H22</f>
        <v>31.67775</v>
      </c>
      <c r="K27" s="1546" t="s">
        <v>31</v>
      </c>
    </row>
    <row r="28" spans="1:16">
      <c r="A28" s="2824" t="s">
        <v>686</v>
      </c>
      <c r="B28" s="2825"/>
      <c r="C28" s="2825"/>
      <c r="D28" s="2825"/>
      <c r="E28" s="2825"/>
      <c r="F28" s="2825"/>
      <c r="G28" s="2825"/>
      <c r="H28" s="2826"/>
      <c r="I28" s="2821" t="s">
        <v>688</v>
      </c>
    </row>
    <row r="29" spans="1:16" ht="24.75">
      <c r="A29" s="1484" t="s">
        <v>376</v>
      </c>
      <c r="B29" s="1484" t="s">
        <v>439</v>
      </c>
      <c r="C29" s="1484" t="s">
        <v>438</v>
      </c>
      <c r="D29" s="1484" t="s">
        <v>1788</v>
      </c>
      <c r="E29" s="1484" t="s">
        <v>687</v>
      </c>
      <c r="F29" s="1548" t="s">
        <v>22</v>
      </c>
      <c r="G29" s="1484" t="s">
        <v>687</v>
      </c>
      <c r="H29" s="1548" t="s">
        <v>22</v>
      </c>
      <c r="I29" s="2821"/>
      <c r="L29" s="1055"/>
    </row>
    <row r="30" spans="1:16" ht="24">
      <c r="A30" s="1487">
        <v>0.2</v>
      </c>
      <c r="B30" s="1487">
        <v>0.2</v>
      </c>
      <c r="C30" s="1487">
        <f>B22</f>
        <v>5.44</v>
      </c>
      <c r="D30" s="1539">
        <f>ROUND(B30*A30*C30,3)</f>
        <v>0.218</v>
      </c>
      <c r="E30" s="1491">
        <f>B22</f>
        <v>5.44</v>
      </c>
      <c r="F30" s="1475">
        <v>2</v>
      </c>
      <c r="G30" s="1491">
        <v>0.4</v>
      </c>
      <c r="H30" s="1475">
        <f>ROUND(E30/0.2+1,)</f>
        <v>28</v>
      </c>
      <c r="I30" s="1491">
        <f>ROUNDDOWN(F22/3,)</f>
        <v>1</v>
      </c>
      <c r="L30" s="1055"/>
    </row>
    <row r="31" spans="1:16">
      <c r="A31" s="1541" t="s">
        <v>676</v>
      </c>
      <c r="B31" s="1550"/>
      <c r="C31" s="1550"/>
      <c r="D31" s="1542" t="s">
        <v>22</v>
      </c>
      <c r="E31" s="1543">
        <f>E30*F30+G30*H30*I30</f>
        <v>22.080000000000002</v>
      </c>
      <c r="F31" s="1477" t="s">
        <v>697</v>
      </c>
      <c r="G31" s="1493"/>
      <c r="I31" s="1549" t="s">
        <v>22</v>
      </c>
      <c r="J31" s="1553">
        <f>+C30+0.5</f>
        <v>5.94</v>
      </c>
      <c r="K31" s="1477" t="s">
        <v>182</v>
      </c>
      <c r="L31" s="1055"/>
    </row>
    <row r="32" spans="1:16">
      <c r="A32" s="1544" t="s">
        <v>680</v>
      </c>
      <c r="B32" s="1550"/>
      <c r="C32" s="1550"/>
      <c r="D32" s="1542" t="s">
        <v>22</v>
      </c>
      <c r="E32" s="1545">
        <f>D30*I30</f>
        <v>0.218</v>
      </c>
      <c r="F32" s="1546" t="s">
        <v>32</v>
      </c>
      <c r="L32" s="1055"/>
    </row>
    <row r="33" spans="1:24">
      <c r="A33" s="2824" t="s">
        <v>693</v>
      </c>
      <c r="B33" s="2825"/>
      <c r="C33" s="2825"/>
      <c r="D33" s="2826"/>
      <c r="E33" s="2824" t="s">
        <v>692</v>
      </c>
      <c r="F33" s="2825"/>
      <c r="G33" s="2825"/>
      <c r="H33" s="2826"/>
      <c r="I33" s="2818" t="s">
        <v>662</v>
      </c>
      <c r="J33" s="2819"/>
      <c r="K33" s="2820"/>
      <c r="L33" s="1055"/>
    </row>
    <row r="34" spans="1:24">
      <c r="A34" s="1484" t="s">
        <v>376</v>
      </c>
      <c r="B34" s="1484" t="s">
        <v>439</v>
      </c>
      <c r="C34" s="1484" t="s">
        <v>438</v>
      </c>
      <c r="D34" s="1484" t="s">
        <v>395</v>
      </c>
      <c r="E34" s="1484" t="s">
        <v>437</v>
      </c>
      <c r="F34" s="1484" t="s">
        <v>438</v>
      </c>
      <c r="G34" s="1484" t="s">
        <v>376</v>
      </c>
      <c r="H34" s="1484" t="s">
        <v>395</v>
      </c>
      <c r="I34" s="1484" t="s">
        <v>280</v>
      </c>
      <c r="J34" s="1485" t="s">
        <v>281</v>
      </c>
      <c r="K34" s="1484" t="s">
        <v>28</v>
      </c>
      <c r="L34" s="1055"/>
    </row>
    <row r="35" spans="1:24" ht="24">
      <c r="A35" s="1486">
        <v>0.2</v>
      </c>
      <c r="B35" s="1486">
        <v>0.55000000000000004</v>
      </c>
      <c r="C35" s="1475">
        <f>C9</f>
        <v>4.9400000000000004</v>
      </c>
      <c r="D35" s="1554">
        <f>ROUND(B35*A35*(C35-1.2)+A35*B35*C35,3)</f>
        <v>0.95499999999999996</v>
      </c>
      <c r="E35" s="1491">
        <v>0.15</v>
      </c>
      <c r="F35" s="1487">
        <v>4.5</v>
      </c>
      <c r="G35" s="1491">
        <f>+B22</f>
        <v>5.44</v>
      </c>
      <c r="H35" s="1554">
        <f>ROUND(F35*E35*G35*1.05,3)</f>
        <v>3.8559999999999999</v>
      </c>
      <c r="I35" s="1491">
        <f>+C35-1.2</f>
        <v>3.74</v>
      </c>
      <c r="J35" s="1475">
        <v>4</v>
      </c>
      <c r="K35" s="1491">
        <f>J35*I35</f>
        <v>14.96</v>
      </c>
      <c r="L35" s="1055"/>
      <c r="O35" s="171"/>
      <c r="P35" s="171"/>
    </row>
    <row r="36" spans="1:24" ht="23.25" customHeight="1">
      <c r="A36" s="2818" t="s">
        <v>662</v>
      </c>
      <c r="B36" s="2819"/>
      <c r="C36" s="2820"/>
      <c r="D36" s="2823" t="s">
        <v>462</v>
      </c>
      <c r="E36" s="2823"/>
      <c r="F36" s="2823"/>
      <c r="G36" s="2823"/>
      <c r="H36" s="2823"/>
      <c r="I36" s="2823"/>
      <c r="J36" s="171"/>
      <c r="K36" s="171"/>
      <c r="L36" s="1055"/>
      <c r="O36" s="171"/>
      <c r="P36" s="171"/>
    </row>
    <row r="37" spans="1:24">
      <c r="A37" s="1484" t="s">
        <v>280</v>
      </c>
      <c r="B37" s="1485" t="s">
        <v>281</v>
      </c>
      <c r="C37" s="1484" t="s">
        <v>28</v>
      </c>
      <c r="D37" s="1484" t="s">
        <v>280</v>
      </c>
      <c r="E37" s="1485" t="s">
        <v>281</v>
      </c>
      <c r="F37" s="1484" t="s">
        <v>28</v>
      </c>
      <c r="G37" s="1484" t="s">
        <v>280</v>
      </c>
      <c r="H37" s="1485" t="s">
        <v>281</v>
      </c>
      <c r="I37" s="1484" t="s">
        <v>28</v>
      </c>
      <c r="J37" s="171"/>
      <c r="K37" s="171"/>
      <c r="L37" s="1055"/>
      <c r="O37" s="171"/>
      <c r="P37" s="171"/>
    </row>
    <row r="38" spans="1:24">
      <c r="A38" s="1491">
        <f>+C35</f>
        <v>4.9400000000000004</v>
      </c>
      <c r="B38" s="1475">
        <v>4</v>
      </c>
      <c r="C38" s="1491">
        <f>B38*A38</f>
        <v>19.760000000000002</v>
      </c>
      <c r="D38" s="1491">
        <f>0.55*2+0.2*2</f>
        <v>1.5</v>
      </c>
      <c r="E38" s="1475">
        <f>ROUND((C35+C35-1.2)/0.2+1,)</f>
        <v>44</v>
      </c>
      <c r="F38" s="1491">
        <f>E38*D38</f>
        <v>66</v>
      </c>
      <c r="G38" s="1491">
        <v>5.35</v>
      </c>
      <c r="H38" s="1475">
        <f>ROUND(C30/0.2+1,)</f>
        <v>28</v>
      </c>
      <c r="I38" s="1491">
        <f>H38*G38</f>
        <v>149.79999999999998</v>
      </c>
      <c r="J38" s="171"/>
      <c r="K38" s="171"/>
      <c r="L38" s="1055"/>
      <c r="O38" s="171"/>
      <c r="P38" s="171"/>
    </row>
    <row r="39" spans="1:24" ht="24">
      <c r="A39" s="2818" t="s">
        <v>462</v>
      </c>
      <c r="B39" s="2819"/>
      <c r="C39" s="2820"/>
      <c r="D39" s="1555"/>
      <c r="E39" s="1541" t="s">
        <v>698</v>
      </c>
      <c r="H39" s="1549" t="s">
        <v>22</v>
      </c>
      <c r="I39" s="1556">
        <f>+K35+C38</f>
        <v>34.72</v>
      </c>
      <c r="J39" s="1477" t="s">
        <v>182</v>
      </c>
      <c r="K39" s="171"/>
      <c r="L39" s="1055"/>
      <c r="O39" s="171"/>
      <c r="P39" s="171"/>
    </row>
    <row r="40" spans="1:24">
      <c r="A40" s="1484" t="s">
        <v>280</v>
      </c>
      <c r="B40" s="1485" t="s">
        <v>281</v>
      </c>
      <c r="C40" s="1484" t="s">
        <v>28</v>
      </c>
      <c r="E40" s="1541" t="s">
        <v>676</v>
      </c>
      <c r="H40" s="1549" t="s">
        <v>22</v>
      </c>
      <c r="I40" s="1556">
        <f>+I38+F38+C41</f>
        <v>368.12</v>
      </c>
      <c r="J40" s="1477" t="s">
        <v>182</v>
      </c>
      <c r="L40" s="1055"/>
    </row>
    <row r="41" spans="1:24">
      <c r="A41" s="1491">
        <f>+C30</f>
        <v>5.44</v>
      </c>
      <c r="B41" s="1475">
        <f>ROUND(G38/0.2+1,)</f>
        <v>28</v>
      </c>
      <c r="C41" s="1491">
        <f>B41*A41</f>
        <v>152.32000000000002</v>
      </c>
      <c r="E41" s="1544" t="s">
        <v>680</v>
      </c>
      <c r="F41" s="1493"/>
      <c r="G41" s="1493"/>
      <c r="H41" s="1542" t="s">
        <v>22</v>
      </c>
      <c r="I41" s="1545">
        <f>+H35+D35</f>
        <v>4.8109999999999999</v>
      </c>
      <c r="J41" s="1546" t="s">
        <v>32</v>
      </c>
      <c r="L41" s="1055"/>
    </row>
    <row r="42" spans="1:24">
      <c r="A42" s="1502"/>
      <c r="B42" s="1502"/>
      <c r="C42" s="1510"/>
      <c r="E42" s="1544" t="s">
        <v>696</v>
      </c>
      <c r="G42" s="1557"/>
      <c r="H42" s="1542" t="s">
        <v>22</v>
      </c>
      <c r="I42" s="1558">
        <f>ROUNDUP(0.5*(F6+F6-1.2)*0.6*4.5,)</f>
        <v>12</v>
      </c>
      <c r="J42" s="1546" t="s">
        <v>32</v>
      </c>
      <c r="L42" s="1055"/>
    </row>
    <row r="43" spans="1:24">
      <c r="A43" s="1559" t="s">
        <v>700</v>
      </c>
      <c r="B43" s="1502"/>
      <c r="C43" s="1510"/>
      <c r="E43" s="1056"/>
      <c r="G43" s="1557"/>
      <c r="L43" s="1055"/>
    </row>
    <row r="44" spans="1:24">
      <c r="A44" s="1484" t="s">
        <v>606</v>
      </c>
      <c r="B44" s="1548" t="s">
        <v>440</v>
      </c>
      <c r="C44" s="1484" t="s">
        <v>608</v>
      </c>
      <c r="D44" s="1484" t="s">
        <v>699</v>
      </c>
      <c r="E44" s="1548" t="s">
        <v>282</v>
      </c>
      <c r="F44" s="1484" t="s">
        <v>283</v>
      </c>
      <c r="G44" s="1484" t="s">
        <v>267</v>
      </c>
      <c r="H44" s="1548" t="str">
        <f>+"ท่อ " &amp;A6</f>
        <v>ท่อ 1</v>
      </c>
      <c r="I44" s="1484" t="s">
        <v>701</v>
      </c>
      <c r="L44" s="1055"/>
    </row>
    <row r="45" spans="1:24">
      <c r="A45" s="1489">
        <f>+ROUND((J13+J18+J31+I39)*0.888*1.09,3)</f>
        <v>60.94</v>
      </c>
      <c r="B45" s="1489">
        <f>+ROUND(J26*0.499*1.07,3)</f>
        <v>13.263</v>
      </c>
      <c r="C45" s="1560">
        <f>+ROUND((E13+E18+E26+E31+I40)*0.222*1.05,3)</f>
        <v>288.35899999999998</v>
      </c>
      <c r="D45" s="1491">
        <f>ROUND(SUM(A45:C45)/1000*15,2)</f>
        <v>5.44</v>
      </c>
      <c r="E45" s="1489">
        <f>+E14+E19+E27+E32+I41</f>
        <v>25.09075</v>
      </c>
      <c r="F45" s="1491">
        <f>+(J14+J27)*0.25</f>
        <v>9.4014375000000001</v>
      </c>
      <c r="G45" s="1491">
        <f>ROUND(F45*0.3,2)</f>
        <v>2.82</v>
      </c>
      <c r="H45" s="1491">
        <f>+C6*D6</f>
        <v>18</v>
      </c>
      <c r="I45" s="1491">
        <f>+I42</f>
        <v>12</v>
      </c>
      <c r="L45" s="1055"/>
    </row>
    <row r="46" spans="1:24" ht="27.75">
      <c r="A46" s="1472" t="str">
        <f>+A1</f>
        <v xml:space="preserve">บำรุงพิเศษ ซ่อมสร้างผิวทาง Asphaltic Concrete </v>
      </c>
      <c r="B46" s="1473"/>
      <c r="C46" s="1473"/>
      <c r="D46" s="1473"/>
      <c r="E46" s="1473"/>
      <c r="F46" s="1473"/>
      <c r="G46" s="1473"/>
      <c r="H46" s="1473"/>
      <c r="I46" s="1473"/>
      <c r="J46" s="1473"/>
      <c r="K46" s="1473"/>
      <c r="N46" s="2827" t="s">
        <v>551</v>
      </c>
      <c r="O46" s="2827"/>
      <c r="P46" s="2827" t="s">
        <v>669</v>
      </c>
      <c r="Q46" s="2827"/>
      <c r="R46" s="2827"/>
      <c r="S46" s="2827" t="s">
        <v>671</v>
      </c>
      <c r="T46" s="2827"/>
      <c r="U46" s="2827"/>
      <c r="V46" s="2827" t="s">
        <v>675</v>
      </c>
      <c r="W46" s="2827"/>
      <c r="X46" s="2827"/>
    </row>
    <row r="47" spans="1:24">
      <c r="A47" s="1055" t="str">
        <f>+A2</f>
        <v xml:space="preserve">รหัสสายทาง   </v>
      </c>
      <c r="B47" s="1055" t="str">
        <f>+B2</f>
        <v>ปน.4031</v>
      </c>
      <c r="C47" s="1055" t="str">
        <f t="shared" ref="C47:K47" si="0">+C2</f>
        <v>แยกทางหลวงหมายเลข 4157-บ้านปาตา</v>
      </c>
      <c r="G47" s="1055" t="str">
        <f t="shared" si="0"/>
        <v>อำเภอ  ปะนาเระ,ยะหริ่ง จังหวัด ปัตตานี</v>
      </c>
      <c r="J47" s="1055" t="str">
        <f t="shared" si="0"/>
        <v>ปีงบประมาณ</v>
      </c>
      <c r="K47" s="1056">
        <f t="shared" si="0"/>
        <v>2559</v>
      </c>
      <c r="N47" s="1475" t="s">
        <v>667</v>
      </c>
      <c r="O47" s="1475" t="s">
        <v>668</v>
      </c>
      <c r="P47" s="1475" t="s">
        <v>670</v>
      </c>
      <c r="Q47" s="1475" t="s">
        <v>425</v>
      </c>
      <c r="R47" s="1475" t="s">
        <v>426</v>
      </c>
      <c r="S47" s="1475" t="s">
        <v>670</v>
      </c>
      <c r="T47" s="1475" t="s">
        <v>425</v>
      </c>
      <c r="U47" s="1475" t="s">
        <v>426</v>
      </c>
      <c r="V47" s="1475" t="s">
        <v>670</v>
      </c>
      <c r="W47" s="1475" t="s">
        <v>425</v>
      </c>
      <c r="X47" s="1475" t="s">
        <v>426</v>
      </c>
    </row>
    <row r="48" spans="1:24" ht="27.75">
      <c r="D48" s="1501" t="s">
        <v>702</v>
      </c>
      <c r="N48" s="1478">
        <v>0.6</v>
      </c>
      <c r="O48" s="1478">
        <v>7.5</v>
      </c>
      <c r="P48" s="1479">
        <v>195</v>
      </c>
      <c r="Q48" s="1479">
        <v>300</v>
      </c>
      <c r="R48" s="1479">
        <v>405</v>
      </c>
      <c r="S48" s="1479">
        <v>195</v>
      </c>
      <c r="T48" s="1479">
        <v>195</v>
      </c>
      <c r="U48" s="1479">
        <v>195</v>
      </c>
      <c r="V48" s="1478"/>
      <c r="W48" s="1479"/>
      <c r="X48" s="1478"/>
    </row>
    <row r="49" spans="1:25">
      <c r="A49" s="2822" t="s">
        <v>429</v>
      </c>
      <c r="B49" s="2822"/>
      <c r="C49" s="2822"/>
      <c r="D49" s="2822"/>
      <c r="E49" s="2822"/>
      <c r="F49" s="2822" t="s">
        <v>661</v>
      </c>
      <c r="G49" s="2822"/>
      <c r="H49" s="2822"/>
      <c r="I49" s="2821" t="s">
        <v>430</v>
      </c>
      <c r="J49" s="2821" t="s">
        <v>1786</v>
      </c>
      <c r="K49" s="2821" t="s">
        <v>1787</v>
      </c>
      <c r="N49" s="1480">
        <v>0.8</v>
      </c>
      <c r="O49" s="1480">
        <v>9.5</v>
      </c>
      <c r="P49" s="1481">
        <v>259</v>
      </c>
      <c r="Q49" s="1481">
        <v>398</v>
      </c>
      <c r="R49" s="1481">
        <v>537</v>
      </c>
      <c r="S49" s="1481">
        <v>239</v>
      </c>
      <c r="T49" s="1481">
        <v>239</v>
      </c>
      <c r="U49" s="1481">
        <v>239</v>
      </c>
      <c r="V49" s="1480">
        <v>7.16</v>
      </c>
      <c r="W49" s="1480">
        <f>+V49*2</f>
        <v>14.32</v>
      </c>
      <c r="X49" s="1480">
        <f>+V49*3</f>
        <v>21.48</v>
      </c>
    </row>
    <row r="50" spans="1:25" ht="24">
      <c r="A50" s="1532" t="s">
        <v>431</v>
      </c>
      <c r="B50" s="1532" t="s">
        <v>416</v>
      </c>
      <c r="C50" s="1484" t="s">
        <v>432</v>
      </c>
      <c r="D50" s="1484" t="s">
        <v>678</v>
      </c>
      <c r="E50" s="1532" t="s">
        <v>294</v>
      </c>
      <c r="F50" s="1484" t="s">
        <v>689</v>
      </c>
      <c r="G50" s="1484" t="s">
        <v>672</v>
      </c>
      <c r="H50" s="1532" t="s">
        <v>294</v>
      </c>
      <c r="I50" s="2821"/>
      <c r="J50" s="2821"/>
      <c r="K50" s="2821"/>
      <c r="N50" s="1480">
        <v>1</v>
      </c>
      <c r="O50" s="1480">
        <v>11</v>
      </c>
      <c r="P50" s="1481">
        <v>322</v>
      </c>
      <c r="Q50" s="1481">
        <v>494</v>
      </c>
      <c r="R50" s="1481">
        <v>666</v>
      </c>
      <c r="S50" s="1481">
        <v>282</v>
      </c>
      <c r="T50" s="1481">
        <v>282</v>
      </c>
      <c r="U50" s="1481">
        <v>282</v>
      </c>
      <c r="V50" s="1480">
        <v>11.44</v>
      </c>
      <c r="W50" s="1480">
        <f>+V50*2</f>
        <v>22.88</v>
      </c>
      <c r="X50" s="1480">
        <f>+V50*3</f>
        <v>34.32</v>
      </c>
    </row>
    <row r="51" spans="1:25" ht="24">
      <c r="A51" s="1533">
        <v>1</v>
      </c>
      <c r="B51" s="1524">
        <f>+VLOOKUP(A51,N48:O52,2)</f>
        <v>11</v>
      </c>
      <c r="C51" s="1534">
        <v>2</v>
      </c>
      <c r="D51" s="1533">
        <v>9</v>
      </c>
      <c r="E51" s="1489">
        <f>ROUND((22/7*(A51+(B51+B51)/100)^2)/4,3)*C51</f>
        <v>2.3380000000000001</v>
      </c>
      <c r="F51" s="1535">
        <f>+VLOOKUP($A$6,N55:P59,3)/100</f>
        <v>4.9400000000000004</v>
      </c>
      <c r="G51" s="1535">
        <f>+(VLOOKUP($A$6,N55:P59,2)+135)/100</f>
        <v>4.17</v>
      </c>
      <c r="H51" s="1536">
        <f>ROUND(G51*F51,3)</f>
        <v>20.6</v>
      </c>
      <c r="I51" s="1536">
        <f>H51-E51</f>
        <v>18.262</v>
      </c>
      <c r="J51" s="1537">
        <f>ROUND(I51*0.2,3)</f>
        <v>3.6520000000000001</v>
      </c>
      <c r="K51" s="1538">
        <f>+G51*0.25*0.15*2</f>
        <v>0.31274999999999997</v>
      </c>
      <c r="N51" s="1480">
        <v>1.2</v>
      </c>
      <c r="O51" s="1480">
        <v>12.5</v>
      </c>
      <c r="P51" s="1481">
        <v>385</v>
      </c>
      <c r="Q51" s="1481">
        <v>590</v>
      </c>
      <c r="R51" s="1481">
        <v>795</v>
      </c>
      <c r="S51" s="1481">
        <v>325</v>
      </c>
      <c r="T51" s="1481">
        <v>325</v>
      </c>
      <c r="U51" s="1481">
        <v>325</v>
      </c>
      <c r="V51" s="1480">
        <v>16.760000000000002</v>
      </c>
      <c r="W51" s="1480">
        <f>+V51*2</f>
        <v>33.520000000000003</v>
      </c>
      <c r="X51" s="1480">
        <f>+V51*3</f>
        <v>50.28</v>
      </c>
    </row>
    <row r="52" spans="1:25" s="1493" customFormat="1" ht="23.25" customHeight="1">
      <c r="A52" s="2824" t="s">
        <v>685</v>
      </c>
      <c r="B52" s="2825"/>
      <c r="C52" s="2825"/>
      <c r="D52" s="2825"/>
      <c r="E52" s="2826"/>
      <c r="F52" s="2823" t="s">
        <v>462</v>
      </c>
      <c r="G52" s="2823"/>
      <c r="H52" s="2823"/>
      <c r="I52" s="2823"/>
      <c r="J52" s="2823"/>
      <c r="K52" s="2823"/>
      <c r="L52" s="1492"/>
      <c r="N52" s="1494">
        <v>1.5</v>
      </c>
      <c r="O52" s="1494">
        <v>15</v>
      </c>
      <c r="P52" s="1495">
        <v>480</v>
      </c>
      <c r="Q52" s="1495">
        <v>735</v>
      </c>
      <c r="R52" s="1495">
        <v>990</v>
      </c>
      <c r="S52" s="1495">
        <v>390</v>
      </c>
      <c r="T52" s="1495">
        <v>390</v>
      </c>
      <c r="U52" s="1495">
        <v>390</v>
      </c>
      <c r="V52" s="1494">
        <v>24.52</v>
      </c>
      <c r="W52" s="1496">
        <f>+V52*2</f>
        <v>49.04</v>
      </c>
      <c r="X52" s="1496">
        <f>+V52*3</f>
        <v>73.56</v>
      </c>
    </row>
    <row r="53" spans="1:25" s="1493" customFormat="1" ht="24.75">
      <c r="A53" s="1484" t="s">
        <v>376</v>
      </c>
      <c r="B53" s="1484" t="s">
        <v>439</v>
      </c>
      <c r="C53" s="1484" t="s">
        <v>438</v>
      </c>
      <c r="D53" s="1484" t="s">
        <v>1788</v>
      </c>
      <c r="E53" s="1484" t="s">
        <v>283</v>
      </c>
      <c r="F53" s="1484" t="s">
        <v>280</v>
      </c>
      <c r="G53" s="1485" t="s">
        <v>281</v>
      </c>
      <c r="H53" s="1548" t="s">
        <v>28</v>
      </c>
      <c r="I53" s="1484" t="s">
        <v>280</v>
      </c>
      <c r="J53" s="1485" t="s">
        <v>281</v>
      </c>
      <c r="K53" s="1548" t="s">
        <v>28</v>
      </c>
      <c r="L53" s="1492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</row>
    <row r="54" spans="1:25" s="1493" customFormat="1" ht="24">
      <c r="A54" s="1487">
        <v>0.2</v>
      </c>
      <c r="B54" s="1487">
        <v>0.6</v>
      </c>
      <c r="C54" s="1487">
        <f>+F51</f>
        <v>4.9400000000000004</v>
      </c>
      <c r="D54" s="1539">
        <f>ROUND(B54*A54*C54,3)</f>
        <v>0.59299999999999997</v>
      </c>
      <c r="E54" s="1475">
        <f>B54*C54*2</f>
        <v>5.9279999999999999</v>
      </c>
      <c r="F54" s="1491">
        <f>0.6+1.35</f>
        <v>1.9500000000000002</v>
      </c>
      <c r="G54" s="1475">
        <f>ROUND((F51+0.5)/0.2+1,)</f>
        <v>28</v>
      </c>
      <c r="H54" s="1491">
        <f>G54*F54</f>
        <v>54.600000000000009</v>
      </c>
      <c r="I54" s="1491">
        <f>+F51+0.5</f>
        <v>5.44</v>
      </c>
      <c r="J54" s="1475">
        <f>ROUND(G51/0.2+1,)+ROUND(0.6/0.2+1,)*2</f>
        <v>30</v>
      </c>
      <c r="K54" s="1491">
        <f>J54*I54</f>
        <v>163.20000000000002</v>
      </c>
      <c r="L54" s="1492"/>
      <c r="N54" s="1055"/>
      <c r="O54" s="1475" t="s">
        <v>674</v>
      </c>
      <c r="P54" s="1475" t="s">
        <v>673</v>
      </c>
      <c r="Q54" s="1497" t="s">
        <v>675</v>
      </c>
      <c r="R54" s="171"/>
      <c r="S54" s="171"/>
      <c r="T54" s="171"/>
      <c r="U54" s="171"/>
      <c r="V54" s="171"/>
      <c r="W54" s="171"/>
      <c r="X54" s="171"/>
      <c r="Y54" s="171"/>
    </row>
    <row r="55" spans="1:25" s="1493" customFormat="1">
      <c r="A55" s="2818" t="s">
        <v>462</v>
      </c>
      <c r="B55" s="2819"/>
      <c r="C55" s="2820"/>
      <c r="D55" s="2818" t="s">
        <v>662</v>
      </c>
      <c r="E55" s="2819"/>
      <c r="F55" s="2820"/>
      <c r="G55" s="1502" t="s">
        <v>677</v>
      </c>
      <c r="L55" s="1492"/>
      <c r="M55" s="1498">
        <v>0.6</v>
      </c>
      <c r="N55" s="1498">
        <v>0.6</v>
      </c>
      <c r="O55" s="1499">
        <f>+IF($C$6=1,S48,IF($C$6=2,T48,U48))</f>
        <v>195</v>
      </c>
      <c r="P55" s="1499">
        <f>+IF($C$6=1,P48,IF($C$6=2,Q48,R48))</f>
        <v>300</v>
      </c>
      <c r="Q55" s="1499">
        <f>+IF($C$6=1,V48,IF($C$6=2,W48,X48))</f>
        <v>0</v>
      </c>
      <c r="R55" s="171"/>
      <c r="S55" s="171"/>
      <c r="T55" s="171"/>
      <c r="U55" s="171"/>
      <c r="V55" s="171"/>
      <c r="W55" s="171"/>
      <c r="X55" s="171"/>
      <c r="Y55" s="171"/>
    </row>
    <row r="56" spans="1:25" s="1493" customFormat="1">
      <c r="A56" s="1484" t="s">
        <v>280</v>
      </c>
      <c r="B56" s="1485" t="s">
        <v>281</v>
      </c>
      <c r="C56" s="1484" t="s">
        <v>28</v>
      </c>
      <c r="D56" s="1484" t="s">
        <v>280</v>
      </c>
      <c r="E56" s="1485" t="s">
        <v>281</v>
      </c>
      <c r="F56" s="1484" t="s">
        <v>28</v>
      </c>
      <c r="H56" s="1540">
        <f>+VLOOKUP($A$6,N55:Q59,4)</f>
        <v>22.88</v>
      </c>
      <c r="I56" s="1055" t="s">
        <v>182</v>
      </c>
      <c r="L56" s="1492"/>
      <c r="M56" s="1500">
        <v>0.8</v>
      </c>
      <c r="N56" s="1500">
        <v>0.8</v>
      </c>
      <c r="O56" s="1504">
        <f>+IF($C$6=1,S49,IF($C$6=2,T49,U49))</f>
        <v>239</v>
      </c>
      <c r="P56" s="1504">
        <f>+IF($C$6=1,P49,IF($C$6=2,Q49,R49))</f>
        <v>398</v>
      </c>
      <c r="Q56" s="1504">
        <f>+IF($C$6=1,V49,IF($C$6=2,W49,X49))</f>
        <v>14.32</v>
      </c>
    </row>
    <row r="57" spans="1:25" s="1493" customFormat="1">
      <c r="A57" s="1491">
        <f>+G51</f>
        <v>4.17</v>
      </c>
      <c r="B57" s="1475">
        <f>ROUND(F51/0.2+1,)+ROUND(0.6/0.2+1,)</f>
        <v>30</v>
      </c>
      <c r="C57" s="1491">
        <f>B57*A57</f>
        <v>125.1</v>
      </c>
      <c r="D57" s="1491">
        <f>+F51</f>
        <v>4.9400000000000004</v>
      </c>
      <c r="E57" s="1475">
        <v>3</v>
      </c>
      <c r="F57" s="1491">
        <f>E57*D57</f>
        <v>14.82</v>
      </c>
      <c r="L57" s="1492"/>
      <c r="M57" s="1500">
        <v>1</v>
      </c>
      <c r="N57" s="1500">
        <v>1</v>
      </c>
      <c r="O57" s="1504">
        <f>+IF($C$6=1,S50,IF($C$6=2,T50,U50))</f>
        <v>282</v>
      </c>
      <c r="P57" s="1504">
        <f>+IF($C$6=1,P50,IF($C$6=2,Q50,R50))</f>
        <v>494</v>
      </c>
      <c r="Q57" s="1504">
        <f>+IF($C$6=1,V50,IF($C$6=2,W50,X50))</f>
        <v>22.88</v>
      </c>
    </row>
    <row r="58" spans="1:25" s="1493" customFormat="1">
      <c r="A58" s="1541" t="s">
        <v>676</v>
      </c>
      <c r="D58" s="1542" t="s">
        <v>22</v>
      </c>
      <c r="E58" s="1543">
        <f>+H54+K54+C57</f>
        <v>342.9</v>
      </c>
      <c r="F58" s="1477" t="s">
        <v>697</v>
      </c>
      <c r="G58" s="1541"/>
      <c r="I58" s="1542" t="s">
        <v>22</v>
      </c>
      <c r="J58" s="1543">
        <f>+F57</f>
        <v>14.82</v>
      </c>
      <c r="K58" s="1477" t="s">
        <v>182</v>
      </c>
      <c r="L58" s="1492"/>
      <c r="M58" s="1500">
        <v>1.2</v>
      </c>
      <c r="N58" s="1500">
        <v>1.2</v>
      </c>
      <c r="O58" s="1504">
        <f>+IF($C$6=1,S51,IF($C$6=2,T51,U51))</f>
        <v>325</v>
      </c>
      <c r="P58" s="1504">
        <f>+IF($C$6=1,P51,IF($C$6=2,Q51,R51))</f>
        <v>590</v>
      </c>
      <c r="Q58" s="1504">
        <f>+IF($C$6=1,V51,IF($C$6=2,W51,X51))</f>
        <v>33.520000000000003</v>
      </c>
    </row>
    <row r="59" spans="1:25" s="1493" customFormat="1">
      <c r="A59" s="1544" t="s">
        <v>680</v>
      </c>
      <c r="D59" s="1542" t="s">
        <v>22</v>
      </c>
      <c r="E59" s="1545">
        <f>J51+D54+K51</f>
        <v>4.5577500000000004</v>
      </c>
      <c r="F59" s="1546" t="s">
        <v>694</v>
      </c>
      <c r="I59" s="1542" t="s">
        <v>22</v>
      </c>
      <c r="J59" s="1547">
        <f>E54</f>
        <v>5.9279999999999999</v>
      </c>
      <c r="K59" s="1546" t="s">
        <v>31</v>
      </c>
      <c r="L59" s="1492"/>
      <c r="M59" s="1503">
        <v>1.5</v>
      </c>
      <c r="N59" s="1503">
        <v>1.5</v>
      </c>
      <c r="O59" s="1505">
        <f>+IF($C$6=1,S52,IF($C$6=2,T52,U52))</f>
        <v>390</v>
      </c>
      <c r="P59" s="1505">
        <f>+IF($C$6=1,P52,IF($C$6=2,Q52,R52))</f>
        <v>735</v>
      </c>
      <c r="Q59" s="1505">
        <f>+IF($C$6=1,V52,IF($C$6=2,W52,X52))</f>
        <v>49.04</v>
      </c>
    </row>
    <row r="60" spans="1:25">
      <c r="A60" s="2822" t="s">
        <v>679</v>
      </c>
      <c r="B60" s="2822"/>
      <c r="C60" s="2822"/>
      <c r="D60" s="2818" t="s">
        <v>462</v>
      </c>
      <c r="E60" s="2819"/>
      <c r="F60" s="2819"/>
      <c r="G60" s="2819"/>
      <c r="H60" s="2819"/>
      <c r="I60" s="2819"/>
      <c r="J60" s="2819"/>
      <c r="K60" s="2820"/>
    </row>
    <row r="61" spans="1:25" ht="24.75">
      <c r="A61" s="1484" t="s">
        <v>376</v>
      </c>
      <c r="B61" s="1484" t="s">
        <v>438</v>
      </c>
      <c r="C61" s="1484" t="s">
        <v>1788</v>
      </c>
      <c r="D61" s="1484" t="s">
        <v>690</v>
      </c>
      <c r="E61" s="1548" t="s">
        <v>22</v>
      </c>
      <c r="F61" s="1484" t="s">
        <v>691</v>
      </c>
      <c r="G61" s="1548" t="s">
        <v>22</v>
      </c>
      <c r="H61" s="1484" t="s">
        <v>691</v>
      </c>
      <c r="I61" s="1548" t="s">
        <v>22</v>
      </c>
      <c r="J61" s="1484" t="s">
        <v>438</v>
      </c>
      <c r="K61" s="1548" t="s">
        <v>22</v>
      </c>
    </row>
    <row r="62" spans="1:25" ht="24">
      <c r="A62" s="1487">
        <f>+F51</f>
        <v>4.9400000000000004</v>
      </c>
      <c r="B62" s="1487">
        <f>0.35+0.9+1.27</f>
        <v>2.52</v>
      </c>
      <c r="C62" s="1489">
        <f>ROUND(B62*A62*0.2+B62*0.25*0.15*2,3)</f>
        <v>2.6789999999999998</v>
      </c>
      <c r="D62" s="1491">
        <f>+A62-1.2+0.84*2</f>
        <v>5.42</v>
      </c>
      <c r="E62" s="1475">
        <f>ROUND((A62-1.2)/0.2+1,)*2</f>
        <v>40</v>
      </c>
      <c r="F62" s="1491">
        <f>+A62-1.2</f>
        <v>3.74</v>
      </c>
      <c r="G62" s="1475">
        <f>ROUND((B62)/0.2+1,)</f>
        <v>14</v>
      </c>
      <c r="H62" s="1491">
        <f>+A62-1.2+0.85*2</f>
        <v>5.44</v>
      </c>
      <c r="I62" s="1475">
        <f>ROUND((B62)/0.2+1,)</f>
        <v>14</v>
      </c>
      <c r="J62" s="1491">
        <v>1</v>
      </c>
      <c r="K62" s="1475">
        <f>ROUND(B62/0.2+1,)</f>
        <v>14</v>
      </c>
      <c r="P62" s="1056"/>
      <c r="Q62" s="1506"/>
    </row>
    <row r="63" spans="1:25" ht="24">
      <c r="A63" s="1541" t="s">
        <v>676</v>
      </c>
      <c r="B63" s="1541"/>
      <c r="D63" s="1549" t="s">
        <v>22</v>
      </c>
      <c r="E63" s="1543">
        <f>E62*D62+G62*F62+I62*H62+K62*J62</f>
        <v>359.32000000000005</v>
      </c>
      <c r="F63" s="1477" t="s">
        <v>697</v>
      </c>
      <c r="I63" s="1549" t="s">
        <v>22</v>
      </c>
      <c r="J63" s="1543">
        <f>+(A62-1.2)*2</f>
        <v>7.48</v>
      </c>
      <c r="K63" s="1477" t="s">
        <v>182</v>
      </c>
      <c r="P63" s="1056"/>
      <c r="Q63" s="1506"/>
      <c r="W63" s="1507"/>
    </row>
    <row r="64" spans="1:25" ht="24">
      <c r="A64" s="1544" t="s">
        <v>680</v>
      </c>
      <c r="B64" s="1541"/>
      <c r="D64" s="1542" t="s">
        <v>22</v>
      </c>
      <c r="E64" s="1545">
        <f>C62</f>
        <v>2.6789999999999998</v>
      </c>
      <c r="F64" s="1546" t="s">
        <v>32</v>
      </c>
      <c r="P64" s="1056"/>
      <c r="Q64" s="1506"/>
    </row>
    <row r="65" spans="1:23">
      <c r="A65" s="2824" t="s">
        <v>684</v>
      </c>
      <c r="B65" s="2825"/>
      <c r="C65" s="2825"/>
      <c r="D65" s="2826"/>
      <c r="E65" s="2824" t="s">
        <v>683</v>
      </c>
      <c r="F65" s="2825"/>
      <c r="G65" s="2825"/>
      <c r="H65" s="2826"/>
      <c r="I65" s="2818" t="s">
        <v>462</v>
      </c>
      <c r="J65" s="2819"/>
      <c r="K65" s="2820"/>
    </row>
    <row r="66" spans="1:23" ht="24.75">
      <c r="A66" s="1484" t="s">
        <v>294</v>
      </c>
      <c r="B66" s="1484" t="s">
        <v>663</v>
      </c>
      <c r="C66" s="1484" t="s">
        <v>1788</v>
      </c>
      <c r="D66" s="1484" t="s">
        <v>283</v>
      </c>
      <c r="E66" s="1484" t="s">
        <v>681</v>
      </c>
      <c r="F66" s="1484" t="s">
        <v>682</v>
      </c>
      <c r="G66" s="1484" t="s">
        <v>1788</v>
      </c>
      <c r="H66" s="1484" t="s">
        <v>283</v>
      </c>
      <c r="I66" s="1484" t="s">
        <v>280</v>
      </c>
      <c r="J66" s="1485" t="s">
        <v>281</v>
      </c>
      <c r="K66" s="1548" t="s">
        <v>28</v>
      </c>
    </row>
    <row r="67" spans="1:23">
      <c r="A67" s="1487">
        <v>0.36</v>
      </c>
      <c r="B67" s="1487">
        <f>+C54-1.2+0.85*2</f>
        <v>5.44</v>
      </c>
      <c r="C67" s="1488">
        <f>+ROUND(A67*(A62-0.6)+0.2*1*(A62-1.2)+0.85*2*0.15,3)</f>
        <v>2.5649999999999999</v>
      </c>
      <c r="D67" s="1489">
        <f>0.25*A62*2</f>
        <v>2.4700000000000002</v>
      </c>
      <c r="E67" s="1533">
        <v>12</v>
      </c>
      <c r="F67" s="1487">
        <f>ROUND(E67-G51-B62,)</f>
        <v>5</v>
      </c>
      <c r="G67" s="1487">
        <f>C67*F67</f>
        <v>12.824999999999999</v>
      </c>
      <c r="H67" s="1487">
        <f>D67*G67</f>
        <v>31.67775</v>
      </c>
      <c r="I67" s="1491">
        <f>B67</f>
        <v>5.44</v>
      </c>
      <c r="J67" s="1475">
        <f>ROUND(1/0.2+1,)</f>
        <v>6</v>
      </c>
      <c r="K67" s="1491">
        <f>J67*I67</f>
        <v>32.64</v>
      </c>
      <c r="M67" s="171"/>
    </row>
    <row r="68" spans="1:23">
      <c r="A68" s="2818" t="s">
        <v>462</v>
      </c>
      <c r="B68" s="2819"/>
      <c r="C68" s="2819"/>
      <c r="D68" s="2819"/>
      <c r="E68" s="2819"/>
      <c r="F68" s="2819"/>
      <c r="G68" s="2820"/>
      <c r="H68" s="2818" t="s">
        <v>461</v>
      </c>
      <c r="I68" s="2819"/>
      <c r="J68" s="2820"/>
      <c r="M68" s="171"/>
      <c r="N68" s="2824" t="s">
        <v>465</v>
      </c>
      <c r="O68" s="2825"/>
      <c r="P68" s="2825"/>
      <c r="Q68" s="2825"/>
      <c r="R68" s="2825"/>
      <c r="S68" s="2825"/>
      <c r="T68" s="2825"/>
      <c r="U68" s="2825"/>
      <c r="V68" s="2825"/>
      <c r="W68" s="2826"/>
    </row>
    <row r="69" spans="1:23">
      <c r="A69" s="1484" t="s">
        <v>280</v>
      </c>
      <c r="B69" s="1485" t="s">
        <v>281</v>
      </c>
      <c r="C69" s="1483" t="s">
        <v>28</v>
      </c>
      <c r="D69" s="1484" t="s">
        <v>280</v>
      </c>
      <c r="E69" s="1485" t="s">
        <v>281</v>
      </c>
      <c r="F69" s="1483" t="s">
        <v>28</v>
      </c>
      <c r="G69" s="1483" t="s">
        <v>655</v>
      </c>
      <c r="H69" s="1484" t="s">
        <v>280</v>
      </c>
      <c r="I69" s="1485" t="s">
        <v>281</v>
      </c>
      <c r="J69" s="1484" t="s">
        <v>28</v>
      </c>
      <c r="M69" s="171"/>
      <c r="N69" s="1482" t="s">
        <v>494</v>
      </c>
      <c r="O69" s="1482" t="s">
        <v>439</v>
      </c>
      <c r="P69" s="1482" t="s">
        <v>438</v>
      </c>
      <c r="Q69" s="1482" t="s">
        <v>282</v>
      </c>
      <c r="R69" s="1482" t="s">
        <v>283</v>
      </c>
      <c r="S69" s="2824" t="s">
        <v>1235</v>
      </c>
      <c r="T69" s="2825"/>
      <c r="U69" s="2825"/>
      <c r="V69" s="2826"/>
      <c r="W69" s="1482" t="s">
        <v>496</v>
      </c>
    </row>
    <row r="70" spans="1:23" ht="24.75">
      <c r="A70" s="1491">
        <v>1</v>
      </c>
      <c r="B70" s="1475">
        <f>ROUND(B67/0.2+1,)</f>
        <v>28</v>
      </c>
      <c r="C70" s="1491">
        <f>B70*A70</f>
        <v>28</v>
      </c>
      <c r="D70" s="1491">
        <f>0.35+0.6*2+0.9+1.3+0.45</f>
        <v>4.2</v>
      </c>
      <c r="E70" s="1475">
        <f>ROUND((A62-1.2)/0.2+1,)</f>
        <v>20</v>
      </c>
      <c r="F70" s="1491">
        <f>E70*D70</f>
        <v>84</v>
      </c>
      <c r="G70" s="1491">
        <f>F70+C70+K67</f>
        <v>144.63999999999999</v>
      </c>
      <c r="H70" s="1491">
        <f>+A62-0.8</f>
        <v>4.1400000000000006</v>
      </c>
      <c r="I70" s="1475">
        <v>6</v>
      </c>
      <c r="J70" s="1491">
        <f>I70*H70</f>
        <v>24.840000000000003</v>
      </c>
      <c r="M70" s="171"/>
      <c r="N70" s="1483" t="s">
        <v>495</v>
      </c>
      <c r="O70" s="1483" t="s">
        <v>495</v>
      </c>
      <c r="P70" s="1483" t="s">
        <v>495</v>
      </c>
      <c r="Q70" s="1483" t="s">
        <v>1236</v>
      </c>
      <c r="R70" s="1483" t="s">
        <v>1237</v>
      </c>
      <c r="S70" s="1484" t="s">
        <v>280</v>
      </c>
      <c r="T70" s="1485" t="s">
        <v>281</v>
      </c>
      <c r="U70" s="1484" t="s">
        <v>280</v>
      </c>
      <c r="V70" s="1485" t="s">
        <v>281</v>
      </c>
      <c r="W70" s="1483" t="s">
        <v>497</v>
      </c>
    </row>
    <row r="71" spans="1:23">
      <c r="A71" s="1541" t="s">
        <v>676</v>
      </c>
      <c r="B71" s="1550"/>
      <c r="C71" s="1551"/>
      <c r="D71" s="1549" t="s">
        <v>22</v>
      </c>
      <c r="E71" s="1552">
        <f>+G70</f>
        <v>144.63999999999999</v>
      </c>
      <c r="F71" s="1477" t="s">
        <v>695</v>
      </c>
      <c r="I71" s="1549" t="s">
        <v>22</v>
      </c>
      <c r="J71" s="1553">
        <f>+J70</f>
        <v>24.840000000000003</v>
      </c>
      <c r="K71" s="1477" t="s">
        <v>182</v>
      </c>
      <c r="M71" s="171"/>
      <c r="N71" s="1508">
        <v>1</v>
      </c>
      <c r="O71" s="1487">
        <v>0.5</v>
      </c>
      <c r="P71" s="1487">
        <v>1</v>
      </c>
      <c r="Q71" s="1488">
        <f>ROUND((SQRT((O71^2+O71^2))+N71+SQRT((1^2+0.5^2)))*0.07,3)</f>
        <v>0.19800000000000001</v>
      </c>
      <c r="R71" s="1489">
        <f>S71*0.07</f>
        <v>0.19775000000000004</v>
      </c>
      <c r="S71" s="1490">
        <f>ROUND((SQRT((O71^2+O71^2))+N71+SQRT((1^2+0.5^2))),3)</f>
        <v>2.8250000000000002</v>
      </c>
      <c r="T71" s="1475">
        <v>6</v>
      </c>
      <c r="U71" s="1491">
        <v>1</v>
      </c>
      <c r="V71" s="1491">
        <f>ROUND(10+(N71/0.2),)</f>
        <v>15</v>
      </c>
      <c r="W71" s="1497">
        <f>ROUND((S71*T71+U71*V71)*0.222,3)</f>
        <v>7.093</v>
      </c>
    </row>
    <row r="72" spans="1:23" ht="24">
      <c r="A72" s="1544" t="s">
        <v>680</v>
      </c>
      <c r="B72" s="1493"/>
      <c r="C72" s="1551"/>
      <c r="D72" s="1542" t="s">
        <v>22</v>
      </c>
      <c r="E72" s="1545">
        <f>G67</f>
        <v>12.824999999999999</v>
      </c>
      <c r="F72" s="1546" t="s">
        <v>694</v>
      </c>
      <c r="I72" s="1542" t="s">
        <v>22</v>
      </c>
      <c r="J72" s="1545">
        <f>H67</f>
        <v>31.67775</v>
      </c>
      <c r="K72" s="1546" t="s">
        <v>31</v>
      </c>
      <c r="N72" s="1509" t="s">
        <v>467</v>
      </c>
      <c r="O72" s="1502"/>
      <c r="P72" s="1510"/>
      <c r="Q72" s="1511"/>
      <c r="R72" s="1056"/>
      <c r="S72" s="1056"/>
      <c r="T72" s="1509" t="s">
        <v>468</v>
      </c>
      <c r="U72" s="1512"/>
      <c r="W72" s="1056"/>
    </row>
    <row r="73" spans="1:23">
      <c r="A73" s="2824" t="s">
        <v>686</v>
      </c>
      <c r="B73" s="2825"/>
      <c r="C73" s="2825"/>
      <c r="D73" s="2825"/>
      <c r="E73" s="2825"/>
      <c r="F73" s="2825"/>
      <c r="G73" s="2825"/>
      <c r="H73" s="2826"/>
      <c r="I73" s="2821" t="s">
        <v>688</v>
      </c>
      <c r="N73" s="1513" t="s">
        <v>469</v>
      </c>
      <c r="O73" s="1514" t="s">
        <v>470</v>
      </c>
      <c r="P73" s="1485" t="s">
        <v>471</v>
      </c>
      <c r="Q73" s="1515" t="s">
        <v>472</v>
      </c>
      <c r="R73" s="1484" t="s">
        <v>276</v>
      </c>
      <c r="S73" s="1056"/>
      <c r="T73" s="1513" t="s">
        <v>469</v>
      </c>
      <c r="U73" s="1514" t="s">
        <v>470</v>
      </c>
      <c r="V73" s="1485" t="s">
        <v>471</v>
      </c>
      <c r="W73" s="1515" t="s">
        <v>472</v>
      </c>
    </row>
    <row r="74" spans="1:23" ht="24.75">
      <c r="A74" s="1484" t="s">
        <v>376</v>
      </c>
      <c r="B74" s="1484" t="s">
        <v>439</v>
      </c>
      <c r="C74" s="1484" t="s">
        <v>438</v>
      </c>
      <c r="D74" s="1484" t="s">
        <v>1788</v>
      </c>
      <c r="E74" s="1484" t="s">
        <v>687</v>
      </c>
      <c r="F74" s="1548" t="s">
        <v>22</v>
      </c>
      <c r="G74" s="1484" t="s">
        <v>687</v>
      </c>
      <c r="H74" s="1548" t="s">
        <v>22</v>
      </c>
      <c r="I74" s="2821"/>
      <c r="L74" s="1055"/>
      <c r="N74" s="1516">
        <v>7100</v>
      </c>
      <c r="O74" s="1517" t="s">
        <v>473</v>
      </c>
      <c r="P74" s="1518">
        <v>7150</v>
      </c>
      <c r="Q74" s="1491">
        <f>+P74-N74</f>
        <v>50</v>
      </c>
      <c r="R74" s="1475">
        <f>+Q74*3</f>
        <v>150</v>
      </c>
      <c r="S74" s="1056"/>
      <c r="T74" s="1516">
        <v>6900</v>
      </c>
      <c r="U74" s="1517" t="s">
        <v>473</v>
      </c>
      <c r="V74" s="1518">
        <v>7150</v>
      </c>
      <c r="W74" s="1491">
        <f>+V74-T74</f>
        <v>250</v>
      </c>
    </row>
    <row r="75" spans="1:23" ht="24">
      <c r="A75" s="1487">
        <v>0.2</v>
      </c>
      <c r="B75" s="1487">
        <v>0.2</v>
      </c>
      <c r="C75" s="1487">
        <f>B67</f>
        <v>5.44</v>
      </c>
      <c r="D75" s="1539">
        <f>ROUND(B75*A75*C75,3)</f>
        <v>0.218</v>
      </c>
      <c r="E75" s="1491">
        <f>B67</f>
        <v>5.44</v>
      </c>
      <c r="F75" s="1475">
        <v>2</v>
      </c>
      <c r="G75" s="1491">
        <v>0.4</v>
      </c>
      <c r="H75" s="1475">
        <f>ROUND(E75/0.2+1,)</f>
        <v>28</v>
      </c>
      <c r="I75" s="1491">
        <f>ROUNDDOWN(F67/3,)</f>
        <v>1</v>
      </c>
      <c r="L75" s="1055"/>
      <c r="N75" s="1516">
        <v>7150</v>
      </c>
      <c r="O75" s="1517" t="s">
        <v>473</v>
      </c>
      <c r="P75" s="1518">
        <v>7200</v>
      </c>
      <c r="Q75" s="1491">
        <f>+P75-N75</f>
        <v>50</v>
      </c>
      <c r="R75" s="1475">
        <f>+Q75*3</f>
        <v>150</v>
      </c>
      <c r="S75" s="1056"/>
      <c r="T75" s="1516">
        <v>7150</v>
      </c>
      <c r="U75" s="1517" t="s">
        <v>473</v>
      </c>
      <c r="V75" s="1518">
        <v>7200</v>
      </c>
      <c r="W75" s="1491">
        <f>+V75-T75</f>
        <v>50</v>
      </c>
    </row>
    <row r="76" spans="1:23">
      <c r="A76" s="1541" t="s">
        <v>676</v>
      </c>
      <c r="B76" s="1550"/>
      <c r="C76" s="1550"/>
      <c r="D76" s="1542" t="s">
        <v>22</v>
      </c>
      <c r="E76" s="1543">
        <f>E75*F75+G75*H75*I75</f>
        <v>22.080000000000002</v>
      </c>
      <c r="F76" s="1477" t="s">
        <v>697</v>
      </c>
      <c r="G76" s="1493"/>
      <c r="I76" s="1549" t="s">
        <v>22</v>
      </c>
      <c r="J76" s="1553">
        <f>+C75+0.5</f>
        <v>5.94</v>
      </c>
      <c r="K76" s="1477" t="s">
        <v>182</v>
      </c>
      <c r="L76" s="1055"/>
      <c r="N76" s="1516">
        <v>7275</v>
      </c>
      <c r="O76" s="1517" t="s">
        <v>473</v>
      </c>
      <c r="P76" s="1518">
        <v>7375</v>
      </c>
      <c r="Q76" s="1491">
        <f>+P76-N76</f>
        <v>100</v>
      </c>
      <c r="R76" s="1475">
        <f>+Q76*3</f>
        <v>300</v>
      </c>
      <c r="S76" s="1056"/>
      <c r="T76" s="1516">
        <v>7400</v>
      </c>
      <c r="U76" s="1517" t="s">
        <v>473</v>
      </c>
      <c r="V76" s="1518">
        <v>7600</v>
      </c>
      <c r="W76" s="1491">
        <f>+V76-T76</f>
        <v>200</v>
      </c>
    </row>
    <row r="77" spans="1:23">
      <c r="A77" s="1544" t="s">
        <v>680</v>
      </c>
      <c r="B77" s="1550"/>
      <c r="C77" s="1550"/>
      <c r="D77" s="1542" t="s">
        <v>22</v>
      </c>
      <c r="E77" s="1545">
        <f>D75*I75</f>
        <v>0.218</v>
      </c>
      <c r="F77" s="1546" t="s">
        <v>32</v>
      </c>
      <c r="L77" s="1055"/>
      <c r="N77" s="1516"/>
      <c r="O77" s="1517" t="s">
        <v>473</v>
      </c>
      <c r="P77" s="1518"/>
      <c r="Q77" s="1491">
        <f>+P77-N77</f>
        <v>0</v>
      </c>
      <c r="R77" s="1475">
        <f>+Q77*3</f>
        <v>0</v>
      </c>
      <c r="S77" s="1056"/>
      <c r="T77" s="1516"/>
      <c r="U77" s="1517" t="s">
        <v>473</v>
      </c>
      <c r="V77" s="1518"/>
      <c r="W77" s="1491"/>
    </row>
    <row r="78" spans="1:23">
      <c r="A78" s="2824" t="s">
        <v>693</v>
      </c>
      <c r="B78" s="2825"/>
      <c r="C78" s="2825"/>
      <c r="D78" s="2826"/>
      <c r="E78" s="2824" t="s">
        <v>692</v>
      </c>
      <c r="F78" s="2825"/>
      <c r="G78" s="2825"/>
      <c r="H78" s="2826"/>
      <c r="I78" s="2818" t="s">
        <v>662</v>
      </c>
      <c r="J78" s="2819"/>
      <c r="K78" s="2820"/>
      <c r="L78" s="1055"/>
      <c r="N78" s="1516"/>
      <c r="O78" s="1517" t="s">
        <v>473</v>
      </c>
      <c r="P78" s="1518"/>
      <c r="Q78" s="1491"/>
      <c r="R78" s="1475"/>
      <c r="S78" s="1056"/>
      <c r="T78" s="1516"/>
      <c r="U78" s="1517" t="s">
        <v>473</v>
      </c>
      <c r="V78" s="1518"/>
      <c r="W78" s="1491"/>
    </row>
    <row r="79" spans="1:23">
      <c r="A79" s="1484" t="s">
        <v>376</v>
      </c>
      <c r="B79" s="1484" t="s">
        <v>439</v>
      </c>
      <c r="C79" s="1484" t="s">
        <v>438</v>
      </c>
      <c r="D79" s="1484" t="s">
        <v>395</v>
      </c>
      <c r="E79" s="1484" t="s">
        <v>437</v>
      </c>
      <c r="F79" s="1484" t="s">
        <v>438</v>
      </c>
      <c r="G79" s="1484" t="s">
        <v>376</v>
      </c>
      <c r="H79" s="1484" t="s">
        <v>395</v>
      </c>
      <c r="I79" s="1484" t="s">
        <v>280</v>
      </c>
      <c r="J79" s="1485" t="s">
        <v>281</v>
      </c>
      <c r="K79" s="1484" t="s">
        <v>28</v>
      </c>
      <c r="L79" s="1055"/>
      <c r="N79" s="1516"/>
      <c r="O79" s="1517" t="s">
        <v>473</v>
      </c>
      <c r="P79" s="1518"/>
      <c r="Q79" s="1491"/>
      <c r="R79" s="1475"/>
      <c r="S79" s="1056"/>
      <c r="T79" s="1516"/>
      <c r="U79" s="1517" t="s">
        <v>473</v>
      </c>
      <c r="V79" s="1518"/>
      <c r="W79" s="1491"/>
    </row>
    <row r="80" spans="1:23" ht="24">
      <c r="A80" s="1486">
        <v>0.2</v>
      </c>
      <c r="B80" s="1486">
        <v>0.55000000000000004</v>
      </c>
      <c r="C80" s="1475">
        <f>C54</f>
        <v>4.9400000000000004</v>
      </c>
      <c r="D80" s="1554">
        <f>ROUND(B80*A80*(C80-1.2)+A80*B80*C80,3)</f>
        <v>0.95499999999999996</v>
      </c>
      <c r="E80" s="1491">
        <v>0.15</v>
      </c>
      <c r="F80" s="1487">
        <v>4.5</v>
      </c>
      <c r="G80" s="1491">
        <f>+B67</f>
        <v>5.44</v>
      </c>
      <c r="H80" s="1554">
        <f>ROUND(F80*E80*G80*1.05,3)</f>
        <v>3.8559999999999999</v>
      </c>
      <c r="I80" s="1491">
        <f>+C80-1.2</f>
        <v>3.74</v>
      </c>
      <c r="J80" s="1475">
        <v>4</v>
      </c>
      <c r="K80" s="1491">
        <f>J80*I80</f>
        <v>14.96</v>
      </c>
      <c r="L80" s="1055"/>
      <c r="N80" s="1516"/>
      <c r="O80" s="1517" t="s">
        <v>473</v>
      </c>
      <c r="P80" s="1518"/>
      <c r="Q80" s="1519"/>
      <c r="R80" s="1520"/>
      <c r="T80" s="1516"/>
      <c r="U80" s="1517" t="s">
        <v>473</v>
      </c>
      <c r="V80" s="1518"/>
      <c r="W80" s="1519"/>
    </row>
    <row r="81" spans="1:23" ht="23.25" customHeight="1">
      <c r="A81" s="2818" t="s">
        <v>662</v>
      </c>
      <c r="B81" s="2819"/>
      <c r="C81" s="2820"/>
      <c r="D81" s="2823" t="s">
        <v>462</v>
      </c>
      <c r="E81" s="2823"/>
      <c r="F81" s="2823"/>
      <c r="G81" s="2823"/>
      <c r="H81" s="2823"/>
      <c r="I81" s="2823"/>
      <c r="J81" s="171"/>
      <c r="K81" s="171"/>
      <c r="L81" s="1055"/>
      <c r="N81" s="2815" t="s">
        <v>28</v>
      </c>
      <c r="O81" s="2816"/>
      <c r="P81" s="2817"/>
      <c r="Q81" s="1521">
        <f>SUM(Q74:Q80)</f>
        <v>200</v>
      </c>
      <c r="R81" s="1521">
        <f>SUM(R74:R80)</f>
        <v>600</v>
      </c>
      <c r="T81" s="2815" t="s">
        <v>28</v>
      </c>
      <c r="U81" s="2816"/>
      <c r="V81" s="2817"/>
      <c r="W81" s="1521">
        <f>SUM(W74:W80)</f>
        <v>500</v>
      </c>
    </row>
    <row r="82" spans="1:23">
      <c r="A82" s="1484" t="s">
        <v>280</v>
      </c>
      <c r="B82" s="1485" t="s">
        <v>281</v>
      </c>
      <c r="C82" s="1484" t="s">
        <v>28</v>
      </c>
      <c r="D82" s="1484" t="s">
        <v>280</v>
      </c>
      <c r="E82" s="1485" t="s">
        <v>281</v>
      </c>
      <c r="F82" s="1484" t="s">
        <v>28</v>
      </c>
      <c r="G82" s="1484" t="s">
        <v>280</v>
      </c>
      <c r="H82" s="1485" t="s">
        <v>281</v>
      </c>
      <c r="I82" s="1484" t="s">
        <v>28</v>
      </c>
      <c r="J82" s="171"/>
      <c r="K82" s="171"/>
      <c r="L82" s="1055"/>
      <c r="P82" s="1056"/>
      <c r="Q82" s="1522"/>
    </row>
    <row r="83" spans="1:23">
      <c r="A83" s="1491">
        <f>+C80</f>
        <v>4.9400000000000004</v>
      </c>
      <c r="B83" s="1475">
        <v>4</v>
      </c>
      <c r="C83" s="1491">
        <f>B83*A83</f>
        <v>19.760000000000002</v>
      </c>
      <c r="D83" s="1491">
        <f>0.55*2+0.2*2</f>
        <v>1.5</v>
      </c>
      <c r="E83" s="1475">
        <f>ROUND((C80+C80-1.2)/0.2+1,)</f>
        <v>44</v>
      </c>
      <c r="F83" s="1491">
        <f>E83*D83</f>
        <v>66</v>
      </c>
      <c r="G83" s="1491">
        <v>5.35</v>
      </c>
      <c r="H83" s="1475">
        <f>ROUND(C75/0.2+1,)</f>
        <v>28</v>
      </c>
      <c r="I83" s="1491">
        <f>H83*G83</f>
        <v>149.79999999999998</v>
      </c>
      <c r="J83" s="171"/>
      <c r="K83" s="171"/>
      <c r="L83" s="1055"/>
      <c r="O83" s="171"/>
      <c r="P83" s="171"/>
    </row>
    <row r="84" spans="1:23" ht="24">
      <c r="A84" s="2818" t="s">
        <v>462</v>
      </c>
      <c r="B84" s="2819"/>
      <c r="C84" s="2820"/>
      <c r="D84" s="1555"/>
      <c r="E84" s="1541" t="s">
        <v>698</v>
      </c>
      <c r="H84" s="1549" t="s">
        <v>22</v>
      </c>
      <c r="I84" s="1543">
        <f>+K80+C83</f>
        <v>34.72</v>
      </c>
      <c r="J84" s="1477" t="s">
        <v>182</v>
      </c>
      <c r="K84" s="171"/>
      <c r="L84" s="1055"/>
      <c r="O84" s="171"/>
      <c r="P84" s="171"/>
    </row>
    <row r="85" spans="1:23">
      <c r="A85" s="1484" t="s">
        <v>280</v>
      </c>
      <c r="B85" s="1485" t="s">
        <v>281</v>
      </c>
      <c r="C85" s="1484" t="s">
        <v>28</v>
      </c>
      <c r="E85" s="1541" t="s">
        <v>676</v>
      </c>
      <c r="H85" s="1549" t="s">
        <v>22</v>
      </c>
      <c r="I85" s="1543">
        <f>+I83+F83+C86</f>
        <v>368.12</v>
      </c>
      <c r="J85" s="1477" t="s">
        <v>182</v>
      </c>
      <c r="L85" s="1055"/>
    </row>
    <row r="86" spans="1:23">
      <c r="A86" s="1491">
        <f>+C75</f>
        <v>5.44</v>
      </c>
      <c r="B86" s="1475">
        <f>ROUND(G83/0.2+1,)</f>
        <v>28</v>
      </c>
      <c r="C86" s="1491">
        <f>B86*A86</f>
        <v>152.32000000000002</v>
      </c>
      <c r="E86" s="1544" t="s">
        <v>680</v>
      </c>
      <c r="F86" s="1493"/>
      <c r="G86" s="1493"/>
      <c r="H86" s="1542" t="s">
        <v>22</v>
      </c>
      <c r="I86" s="1545">
        <f>+H80+D80</f>
        <v>4.8109999999999999</v>
      </c>
      <c r="J86" s="1546" t="s">
        <v>32</v>
      </c>
      <c r="L86" s="1055"/>
    </row>
    <row r="87" spans="1:23">
      <c r="A87" s="1502"/>
      <c r="B87" s="1502"/>
      <c r="C87" s="1510"/>
      <c r="E87" s="1544" t="s">
        <v>696</v>
      </c>
      <c r="G87" s="1557"/>
      <c r="H87" s="1542" t="s">
        <v>22</v>
      </c>
      <c r="I87" s="1558">
        <f>ROUNDUP(0.5*(F51+F51-1.2)*0.6*4.5,)</f>
        <v>12</v>
      </c>
      <c r="J87" s="1546" t="s">
        <v>32</v>
      </c>
      <c r="L87" s="1055"/>
    </row>
    <row r="88" spans="1:23">
      <c r="A88" s="1559" t="s">
        <v>700</v>
      </c>
      <c r="B88" s="1502"/>
      <c r="C88" s="1510"/>
      <c r="E88" s="1056"/>
      <c r="G88" s="1557"/>
      <c r="L88" s="1055"/>
    </row>
    <row r="89" spans="1:23">
      <c r="A89" s="1484" t="s">
        <v>606</v>
      </c>
      <c r="B89" s="1548" t="s">
        <v>440</v>
      </c>
      <c r="C89" s="1484" t="s">
        <v>608</v>
      </c>
      <c r="D89" s="1484" t="s">
        <v>699</v>
      </c>
      <c r="E89" s="1548" t="s">
        <v>282</v>
      </c>
      <c r="F89" s="1484" t="s">
        <v>283</v>
      </c>
      <c r="G89" s="1484" t="s">
        <v>267</v>
      </c>
      <c r="H89" s="1548" t="str">
        <f>+"ท่อ " &amp;A51</f>
        <v>ท่อ 1</v>
      </c>
      <c r="I89" s="1484" t="s">
        <v>701</v>
      </c>
      <c r="L89" s="1055"/>
    </row>
    <row r="90" spans="1:23">
      <c r="A90" s="1489">
        <f>+ROUND((J58+J63+J76+I84)*0.888*1.09/1000,3)</f>
        <v>6.0999999999999999E-2</v>
      </c>
      <c r="B90" s="1489">
        <f>+ROUND(J71*0.499*1.07/1000,3)</f>
        <v>1.2999999999999999E-2</v>
      </c>
      <c r="C90" s="1560">
        <f>+ROUND((E58+E63+E71+E76+I85)*0.222*1.05/1000,3)</f>
        <v>0.28799999999999998</v>
      </c>
      <c r="D90" s="1491">
        <f>ROUND(SUM(A90:C90)*15,2)</f>
        <v>5.43</v>
      </c>
      <c r="E90" s="1489">
        <f>+E59+E64+E72+E77+I86</f>
        <v>25.09075</v>
      </c>
      <c r="F90" s="1491">
        <f>+(J59+J72)*0.25</f>
        <v>9.4014375000000001</v>
      </c>
      <c r="G90" s="1491">
        <f>ROUND(F90*0.3,2)</f>
        <v>2.82</v>
      </c>
      <c r="H90" s="1491">
        <f>+C51*D51</f>
        <v>18</v>
      </c>
      <c r="I90" s="1491">
        <f>+I87</f>
        <v>12</v>
      </c>
      <c r="L90" s="1055"/>
    </row>
    <row r="91" spans="1:23" s="171" customFormat="1"/>
  </sheetData>
  <mergeCells count="60">
    <mergeCell ref="A84:C84"/>
    <mergeCell ref="A68:G68"/>
    <mergeCell ref="H68:J68"/>
    <mergeCell ref="A73:H73"/>
    <mergeCell ref="I73:I74"/>
    <mergeCell ref="A78:D78"/>
    <mergeCell ref="E78:H78"/>
    <mergeCell ref="A60:C60"/>
    <mergeCell ref="A39:C39"/>
    <mergeCell ref="N68:W68"/>
    <mergeCell ref="S69:V69"/>
    <mergeCell ref="V1:X1"/>
    <mergeCell ref="K4:K5"/>
    <mergeCell ref="P1:R1"/>
    <mergeCell ref="S1:U1"/>
    <mergeCell ref="I4:I5"/>
    <mergeCell ref="F49:H49"/>
    <mergeCell ref="I49:I50"/>
    <mergeCell ref="N46:O46"/>
    <mergeCell ref="P46:R46"/>
    <mergeCell ref="S46:U46"/>
    <mergeCell ref="I20:K20"/>
    <mergeCell ref="A23:G23"/>
    <mergeCell ref="E33:H33"/>
    <mergeCell ref="A10:C10"/>
    <mergeCell ref="D10:F10"/>
    <mergeCell ref="A33:D33"/>
    <mergeCell ref="V46:X46"/>
    <mergeCell ref="H23:J23"/>
    <mergeCell ref="I33:K33"/>
    <mergeCell ref="A36:C36"/>
    <mergeCell ref="D36:I36"/>
    <mergeCell ref="N1:O1"/>
    <mergeCell ref="A15:C15"/>
    <mergeCell ref="I28:I29"/>
    <mergeCell ref="A4:E4"/>
    <mergeCell ref="F4:H4"/>
    <mergeCell ref="A7:E7"/>
    <mergeCell ref="A20:D20"/>
    <mergeCell ref="E20:H20"/>
    <mergeCell ref="A28:H28"/>
    <mergeCell ref="J4:J5"/>
    <mergeCell ref="F7:K7"/>
    <mergeCell ref="D15:K15"/>
    <mergeCell ref="N81:P81"/>
    <mergeCell ref="T81:V81"/>
    <mergeCell ref="A55:C55"/>
    <mergeCell ref="D55:F55"/>
    <mergeCell ref="J49:J50"/>
    <mergeCell ref="K49:K50"/>
    <mergeCell ref="A49:E49"/>
    <mergeCell ref="A81:C81"/>
    <mergeCell ref="D81:I81"/>
    <mergeCell ref="D60:K60"/>
    <mergeCell ref="A65:D65"/>
    <mergeCell ref="E65:H65"/>
    <mergeCell ref="I65:K65"/>
    <mergeCell ref="I78:K78"/>
    <mergeCell ref="A52:E52"/>
    <mergeCell ref="F52:K52"/>
  </mergeCells>
  <printOptions horizontalCentered="1"/>
  <pageMargins left="0.7" right="0.7" top="0.5" bottom="0.5" header="0.3" footer="0.3"/>
  <pageSetup paperSize="9" scale="80" orientation="portrait" horizontalDpi="300" verticalDpi="300" r:id="rId1"/>
  <colBreaks count="1" manualBreakCount="1">
    <brk id="11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0000"/>
  </sheetPr>
  <dimension ref="A1:AY126"/>
  <sheetViews>
    <sheetView workbookViewId="0">
      <selection activeCell="AB3" sqref="AB3"/>
    </sheetView>
  </sheetViews>
  <sheetFormatPr defaultColWidth="9.140625" defaultRowHeight="21.75"/>
  <cols>
    <col min="1" max="1" width="4.5703125" style="1056" customWidth="1"/>
    <col min="2" max="2" width="11.140625" style="1055" bestFit="1" customWidth="1"/>
    <col min="3" max="3" width="9.5703125" style="1055" bestFit="1" customWidth="1"/>
    <col min="4" max="5" width="9.140625" style="1055"/>
    <col min="6" max="6" width="9.7109375" style="1055" customWidth="1"/>
    <col min="7" max="7" width="9.85546875" style="1055" bestFit="1" customWidth="1"/>
    <col min="8" max="9" width="9.140625" style="1055"/>
    <col min="10" max="10" width="9.5703125" style="1055" customWidth="1"/>
    <col min="11" max="12" width="9.140625" style="1055"/>
    <col min="13" max="13" width="9.7109375" style="1055" customWidth="1"/>
    <col min="14" max="14" width="9.140625" style="1055"/>
    <col min="15" max="25" width="8.7109375" style="1474" customWidth="1"/>
    <col min="26" max="29" width="9.140625" style="1055"/>
    <col min="30" max="30" width="10" style="1055" bestFit="1" customWidth="1"/>
    <col min="31" max="31" width="11" style="1055" bestFit="1" customWidth="1"/>
    <col min="32" max="36" width="9.140625" style="1055"/>
    <col min="37" max="37" width="11" style="1055" bestFit="1" customWidth="1"/>
    <col min="38" max="41" width="9.140625" style="1055"/>
    <col min="42" max="42" width="31.5703125" style="1055" bestFit="1" customWidth="1"/>
    <col min="43" max="43" width="6" style="1055" customWidth="1"/>
    <col min="44" max="44" width="6.85546875" style="1055" customWidth="1"/>
    <col min="45" max="16384" width="9.140625" style="1055"/>
  </cols>
  <sheetData>
    <row r="1" spans="1:44" ht="23.25" customHeight="1">
      <c r="A1" s="2828" t="str">
        <f>+'1.ต้นทุนถนน AC.'!D6</f>
        <v xml:space="preserve">บำรุงพิเศษ ซ่อมสร้างผิวทาง Asphaltic Concrete </v>
      </c>
      <c r="B1" s="2828"/>
      <c r="C1" s="2828"/>
      <c r="D1" s="2828"/>
      <c r="E1" s="2828"/>
      <c r="F1" s="2828"/>
      <c r="G1" s="2828"/>
      <c r="H1" s="2828"/>
      <c r="I1" s="2828"/>
      <c r="J1" s="2828"/>
      <c r="K1" s="2828"/>
      <c r="L1" s="2828"/>
      <c r="M1" s="2828"/>
      <c r="N1" s="2828"/>
      <c r="O1" s="2828"/>
      <c r="P1" s="2828"/>
      <c r="Q1" s="2828"/>
      <c r="R1" s="2828"/>
      <c r="S1" s="2828"/>
      <c r="T1" s="2828"/>
      <c r="U1" s="2828"/>
      <c r="AA1" s="2829" t="s">
        <v>551</v>
      </c>
      <c r="AB1" s="2829"/>
      <c r="AC1" s="2829" t="s">
        <v>669</v>
      </c>
      <c r="AD1" s="2829"/>
      <c r="AE1" s="2829"/>
      <c r="AF1" s="2829" t="s">
        <v>671</v>
      </c>
      <c r="AG1" s="2829"/>
      <c r="AH1" s="2829"/>
      <c r="AI1" s="2829" t="s">
        <v>675</v>
      </c>
      <c r="AJ1" s="2829"/>
      <c r="AK1" s="2829"/>
      <c r="AP1" s="729"/>
    </row>
    <row r="2" spans="1:44">
      <c r="A2" s="1056" t="str">
        <f>+ปร.5_Roads!A6</f>
        <v xml:space="preserve">รหัสสายทาง   </v>
      </c>
      <c r="C2" s="1055" t="str">
        <f>+'4.ต้นทุนระบายน้ำ'!C8</f>
        <v>ปน.4031</v>
      </c>
      <c r="D2" s="1055" t="str">
        <f>+'4.ต้นทุนระบายน้ำ'!F8</f>
        <v>แยกทางหลวงหมายเลข 4157-บ้านปาตา</v>
      </c>
      <c r="H2" s="1055" t="str">
        <f>+ปร.5_Roads!C7</f>
        <v>อำเภอ  ปะนาเระ,ยะหริ่ง จังหวัด ปัตตานี</v>
      </c>
      <c r="L2" s="1055" t="str">
        <f>+ปร.5_Roads!I5</f>
        <v>ปีงบประมาณ</v>
      </c>
      <c r="N2" s="1476">
        <f>+ปร.5_Roads!J5</f>
        <v>2559</v>
      </c>
      <c r="AA2" s="1525" t="s">
        <v>667</v>
      </c>
      <c r="AB2" s="1525" t="s">
        <v>668</v>
      </c>
      <c r="AC2" s="1525" t="s">
        <v>670</v>
      </c>
      <c r="AD2" s="1525" t="s">
        <v>425</v>
      </c>
      <c r="AE2" s="1525" t="s">
        <v>426</v>
      </c>
      <c r="AF2" s="1525" t="s">
        <v>670</v>
      </c>
      <c r="AG2" s="1525" t="s">
        <v>425</v>
      </c>
      <c r="AH2" s="1525" t="s">
        <v>426</v>
      </c>
      <c r="AI2" s="1525" t="s">
        <v>670</v>
      </c>
      <c r="AJ2" s="1525" t="s">
        <v>425</v>
      </c>
      <c r="AK2" s="1525" t="s">
        <v>426</v>
      </c>
      <c r="AO2" s="1055">
        <v>1</v>
      </c>
      <c r="AP2" s="729" t="s">
        <v>1758</v>
      </c>
      <c r="AQ2" s="1475">
        <v>1</v>
      </c>
      <c r="AR2" s="1491">
        <v>0.8</v>
      </c>
    </row>
    <row r="3" spans="1:44">
      <c r="D3"/>
      <c r="E3"/>
      <c r="F3"/>
      <c r="G3"/>
      <c r="H3"/>
      <c r="I3"/>
      <c r="J3"/>
      <c r="K3"/>
      <c r="L3"/>
      <c r="M3"/>
      <c r="N3" s="171"/>
      <c r="AA3" s="1478">
        <v>0.6</v>
      </c>
      <c r="AB3" s="1478">
        <v>7.5</v>
      </c>
      <c r="AC3" s="1479">
        <v>195</v>
      </c>
      <c r="AD3" s="1479">
        <v>300</v>
      </c>
      <c r="AE3" s="1479">
        <v>405</v>
      </c>
      <c r="AF3" s="1479">
        <v>195</v>
      </c>
      <c r="AG3" s="1479">
        <v>195</v>
      </c>
      <c r="AH3" s="1479">
        <v>195</v>
      </c>
      <c r="AI3" s="1478"/>
      <c r="AJ3" s="1479"/>
      <c r="AK3" s="1478"/>
      <c r="AO3" s="1055">
        <v>2</v>
      </c>
      <c r="AP3" s="729" t="s">
        <v>1759</v>
      </c>
      <c r="AQ3" s="1475">
        <v>1</v>
      </c>
      <c r="AR3" s="1491">
        <v>1</v>
      </c>
    </row>
    <row r="4" spans="1:44">
      <c r="D4" s="2822" t="s">
        <v>664</v>
      </c>
      <c r="E4" s="2822"/>
      <c r="F4" s="2822"/>
      <c r="G4" s="2822"/>
      <c r="H4" s="2822"/>
      <c r="I4" s="2822"/>
      <c r="J4" s="2822"/>
      <c r="K4" s="2822"/>
      <c r="L4" s="2822"/>
      <c r="M4" s="2822"/>
      <c r="N4" s="2822"/>
      <c r="O4" s="2822"/>
      <c r="P4" s="2822"/>
      <c r="Q4" s="2822"/>
      <c r="R4" s="2822"/>
      <c r="S4" s="2822"/>
      <c r="T4" s="2822"/>
      <c r="U4" s="2822"/>
      <c r="AA4" s="1480">
        <v>0.8</v>
      </c>
      <c r="AB4" s="1480">
        <v>9.5</v>
      </c>
      <c r="AC4" s="1481">
        <v>259</v>
      </c>
      <c r="AD4" s="1481">
        <v>398</v>
      </c>
      <c r="AE4" s="1481">
        <v>537</v>
      </c>
      <c r="AF4" s="1481">
        <v>239</v>
      </c>
      <c r="AG4" s="1481">
        <v>239</v>
      </c>
      <c r="AH4" s="1481">
        <v>239</v>
      </c>
      <c r="AI4" s="1480">
        <v>7.16</v>
      </c>
      <c r="AJ4" s="1480">
        <f>+AI4*2</f>
        <v>14.32</v>
      </c>
      <c r="AK4" s="1480">
        <f>+AI4*3</f>
        <v>21.48</v>
      </c>
      <c r="AO4" s="1055">
        <v>3</v>
      </c>
      <c r="AP4" s="729" t="s">
        <v>1760</v>
      </c>
      <c r="AQ4" s="1475">
        <v>1</v>
      </c>
      <c r="AR4" s="1491">
        <v>1.2</v>
      </c>
    </row>
    <row r="5" spans="1:44">
      <c r="D5" s="1482" t="s">
        <v>665</v>
      </c>
      <c r="E5" s="1482" t="s">
        <v>439</v>
      </c>
      <c r="F5" s="1482" t="s">
        <v>438</v>
      </c>
      <c r="G5" s="1482" t="s">
        <v>282</v>
      </c>
      <c r="H5" s="1482" t="s">
        <v>283</v>
      </c>
      <c r="I5" s="2824" t="s">
        <v>1235</v>
      </c>
      <c r="J5" s="2825"/>
      <c r="K5" s="2825"/>
      <c r="L5" s="2825"/>
      <c r="M5" s="2825"/>
      <c r="N5" s="2826"/>
      <c r="O5" s="2824" t="s">
        <v>1235</v>
      </c>
      <c r="P5" s="2825"/>
      <c r="Q5" s="2825"/>
      <c r="R5" s="2825"/>
      <c r="S5" s="2825"/>
      <c r="T5" s="2826"/>
      <c r="U5" s="1482" t="s">
        <v>543</v>
      </c>
      <c r="AA5" s="1480">
        <v>1</v>
      </c>
      <c r="AB5" s="1480">
        <v>11</v>
      </c>
      <c r="AC5" s="1481">
        <v>322</v>
      </c>
      <c r="AD5" s="1481">
        <v>494</v>
      </c>
      <c r="AE5" s="1481">
        <v>666</v>
      </c>
      <c r="AF5" s="1481">
        <v>282</v>
      </c>
      <c r="AG5" s="1481">
        <v>282</v>
      </c>
      <c r="AH5" s="1481">
        <v>282</v>
      </c>
      <c r="AI5" s="1480">
        <v>11.44</v>
      </c>
      <c r="AJ5" s="1480">
        <f>+AI5*2</f>
        <v>22.88</v>
      </c>
      <c r="AK5" s="1480">
        <f>+AI5*3</f>
        <v>34.32</v>
      </c>
      <c r="AO5" s="1055">
        <v>4</v>
      </c>
      <c r="AP5" s="729" t="s">
        <v>1761</v>
      </c>
      <c r="AQ5" s="1475">
        <v>1</v>
      </c>
      <c r="AR5" s="1491">
        <v>1.5</v>
      </c>
    </row>
    <row r="6" spans="1:44" ht="24.75">
      <c r="A6" s="1933" t="s">
        <v>0</v>
      </c>
      <c r="B6" s="1529" t="s">
        <v>1756</v>
      </c>
      <c r="C6" s="926" t="s">
        <v>1757</v>
      </c>
      <c r="D6" s="1483" t="s">
        <v>495</v>
      </c>
      <c r="E6" s="1483" t="s">
        <v>495</v>
      </c>
      <c r="F6" s="1483" t="s">
        <v>495</v>
      </c>
      <c r="G6" s="1483" t="s">
        <v>1236</v>
      </c>
      <c r="H6" s="1483" t="s">
        <v>1237</v>
      </c>
      <c r="I6" s="1484" t="s">
        <v>280</v>
      </c>
      <c r="J6" s="1485" t="s">
        <v>281</v>
      </c>
      <c r="K6" s="1484" t="s">
        <v>280</v>
      </c>
      <c r="L6" s="1485" t="s">
        <v>281</v>
      </c>
      <c r="M6" s="1484" t="s">
        <v>280</v>
      </c>
      <c r="N6" s="1485" t="s">
        <v>281</v>
      </c>
      <c r="O6" s="1484" t="s">
        <v>280</v>
      </c>
      <c r="P6" s="1485" t="s">
        <v>281</v>
      </c>
      <c r="Q6" s="1484" t="s">
        <v>280</v>
      </c>
      <c r="R6" s="1485" t="s">
        <v>281</v>
      </c>
      <c r="S6" s="1484" t="s">
        <v>280</v>
      </c>
      <c r="T6" s="1485" t="s">
        <v>281</v>
      </c>
      <c r="U6" s="1483" t="s">
        <v>397</v>
      </c>
      <c r="AA6" s="1480">
        <v>1.2</v>
      </c>
      <c r="AB6" s="1480">
        <v>12.5</v>
      </c>
      <c r="AC6" s="1481">
        <v>385</v>
      </c>
      <c r="AD6" s="1481">
        <v>590</v>
      </c>
      <c r="AE6" s="1481">
        <v>795</v>
      </c>
      <c r="AF6" s="1481">
        <v>325</v>
      </c>
      <c r="AG6" s="1481">
        <v>325</v>
      </c>
      <c r="AH6" s="1481">
        <v>325</v>
      </c>
      <c r="AI6" s="1480">
        <v>16.760000000000002</v>
      </c>
      <c r="AJ6" s="1480">
        <f>+AI6*2</f>
        <v>33.520000000000003</v>
      </c>
      <c r="AK6" s="1480">
        <f>+AI6*3</f>
        <v>50.28</v>
      </c>
      <c r="AO6" s="1055">
        <v>5</v>
      </c>
      <c r="AP6" s="729" t="s">
        <v>1762</v>
      </c>
      <c r="AQ6" s="1524">
        <v>2</v>
      </c>
      <c r="AR6" s="1491">
        <v>0.8</v>
      </c>
    </row>
    <row r="7" spans="1:44" s="1493" customFormat="1" ht="23.25" customHeight="1">
      <c r="A7" s="1524">
        <v>1</v>
      </c>
      <c r="B7" s="1527">
        <v>0.8</v>
      </c>
      <c r="C7" s="1528">
        <v>1</v>
      </c>
      <c r="D7" s="1486">
        <f>+'4.ต้นทุนระบายน้ำ'!$D$62</f>
        <v>0.5</v>
      </c>
      <c r="E7" s="1487">
        <f t="shared" ref="E7:E18" si="0">+VLOOKUP(B7,$AG$10:$AH$14,2)+VLOOKUP(B7,$AA$3:$AB$7,2)/100*2+0.5</f>
        <v>1.49</v>
      </c>
      <c r="F7" s="1487">
        <f>+VLOOKUP(B7,$AB$10:$AD$14,3)/100</f>
        <v>2.59</v>
      </c>
      <c r="G7" s="1488">
        <f t="shared" ref="G7:G18" si="1">+(D7+0.45)*(F7+0.3)*0.15+((E7*F7*2)-ROUND((22/7*E7^2)/4,3)*C7)*0.15+VLOOKUP(B7,$AG$10:$AH$14,2)*2*0.15</f>
        <v>1.5479549999999997</v>
      </c>
      <c r="H7" s="1489">
        <f t="shared" ref="H7:H18" si="2">+(D7+0.45)*(F7+0.3)+((E7*F7*2)-ROUND((22/7*E7^2)/4,3)*C7)+VLOOKUP(B7,$AG$10:$AH$14,2)</f>
        <v>9.5197000000000003</v>
      </c>
      <c r="I7" s="1490">
        <f t="shared" ref="I7:I18" si="3">+F7</f>
        <v>2.59</v>
      </c>
      <c r="J7" s="1475">
        <f t="shared" ref="J7:J18" si="4">+ROUND((E7+1.45)/0.2+1,)*2</f>
        <v>32</v>
      </c>
      <c r="K7" s="1491">
        <f t="shared" ref="K7:K18" si="5">+E7+1.45</f>
        <v>2.94</v>
      </c>
      <c r="L7" s="1491">
        <f t="shared" ref="L7:L18" si="6">+ROUND(F7/0.2+1,)*2</f>
        <v>28</v>
      </c>
      <c r="M7" s="1491">
        <f t="shared" ref="M7:M18" si="7">+E7-0.3</f>
        <v>1.19</v>
      </c>
      <c r="N7" s="1491">
        <f>+ROUND(1.45/0.2+1,)*4</f>
        <v>32</v>
      </c>
      <c r="O7" s="1491">
        <v>1.45</v>
      </c>
      <c r="P7" s="1491">
        <f t="shared" ref="P7:P18" si="8">+ROUND(M7/0.2+1,)*4</f>
        <v>28</v>
      </c>
      <c r="Q7" s="1491">
        <f t="shared" ref="Q7:Q18" si="9">+I7</f>
        <v>2.59</v>
      </c>
      <c r="R7" s="1491">
        <f t="shared" ref="R7:R18" si="10">+ROUND(E7/2/0.2+1,)*2</f>
        <v>10</v>
      </c>
      <c r="S7" s="1491">
        <f t="shared" ref="S7:S18" si="11">+E7/2</f>
        <v>0.745</v>
      </c>
      <c r="T7" s="1491">
        <f t="shared" ref="T7:T18" si="12">+ROUND(F7/0.2+1,)*2</f>
        <v>28</v>
      </c>
      <c r="U7" s="1491">
        <f t="shared" ref="U7:U18" si="13">+ROUND((I7*J7+K7*L7+M7*N7+O7*P7+Q7*R7+S7*T7),)</f>
        <v>291</v>
      </c>
      <c r="V7" s="1492"/>
      <c r="W7" s="1492"/>
      <c r="X7" s="1492"/>
      <c r="Y7" s="1492"/>
      <c r="AA7" s="1494">
        <v>1.5</v>
      </c>
      <c r="AB7" s="1494">
        <v>15</v>
      </c>
      <c r="AC7" s="1495">
        <v>480</v>
      </c>
      <c r="AD7" s="1495">
        <v>735</v>
      </c>
      <c r="AE7" s="1495">
        <v>990</v>
      </c>
      <c r="AF7" s="1495">
        <v>390</v>
      </c>
      <c r="AG7" s="1495">
        <v>390</v>
      </c>
      <c r="AH7" s="1495">
        <v>390</v>
      </c>
      <c r="AI7" s="1494">
        <v>24.52</v>
      </c>
      <c r="AJ7" s="1496">
        <f>+AI7*2</f>
        <v>49.04</v>
      </c>
      <c r="AK7" s="1496">
        <f>+AI7*3</f>
        <v>73.56</v>
      </c>
      <c r="AO7" s="1493">
        <v>6</v>
      </c>
      <c r="AP7" s="729" t="s">
        <v>1763</v>
      </c>
      <c r="AQ7" s="1524">
        <v>2</v>
      </c>
      <c r="AR7" s="1491">
        <v>1</v>
      </c>
    </row>
    <row r="8" spans="1:44" s="1493" customFormat="1">
      <c r="A8" s="1524">
        <v>2</v>
      </c>
      <c r="B8" s="1527">
        <v>1</v>
      </c>
      <c r="C8" s="1528">
        <v>1</v>
      </c>
      <c r="D8" s="1486">
        <f>+'4.ต้นทุนระบายน้ำ'!$D$62</f>
        <v>0.5</v>
      </c>
      <c r="E8" s="1487">
        <f t="shared" si="0"/>
        <v>1.72</v>
      </c>
      <c r="F8" s="1487">
        <f>+VLOOKUP(B8,$AB$10:$AD$14,3)/100</f>
        <v>3.22</v>
      </c>
      <c r="G8" s="1488">
        <f t="shared" si="1"/>
        <v>2.1145199999999997</v>
      </c>
      <c r="H8" s="1489">
        <f t="shared" si="2"/>
        <v>13.0968</v>
      </c>
      <c r="I8" s="1490">
        <f t="shared" si="3"/>
        <v>3.22</v>
      </c>
      <c r="J8" s="1475">
        <f t="shared" si="4"/>
        <v>34</v>
      </c>
      <c r="K8" s="1491">
        <f t="shared" si="5"/>
        <v>3.17</v>
      </c>
      <c r="L8" s="1491">
        <f t="shared" si="6"/>
        <v>34</v>
      </c>
      <c r="M8" s="1491">
        <f t="shared" si="7"/>
        <v>1.42</v>
      </c>
      <c r="N8" s="1491">
        <f>+ROUND(1.45/0.2+1,)*4</f>
        <v>32</v>
      </c>
      <c r="O8" s="1491">
        <v>1.45</v>
      </c>
      <c r="P8" s="1491">
        <f t="shared" si="8"/>
        <v>32</v>
      </c>
      <c r="Q8" s="1491">
        <f t="shared" si="9"/>
        <v>3.22</v>
      </c>
      <c r="R8" s="1491">
        <f t="shared" si="10"/>
        <v>10</v>
      </c>
      <c r="S8" s="1491">
        <f t="shared" si="11"/>
        <v>0.86</v>
      </c>
      <c r="T8" s="1491">
        <f t="shared" si="12"/>
        <v>34</v>
      </c>
      <c r="U8" s="1491">
        <f t="shared" si="13"/>
        <v>371</v>
      </c>
      <c r="V8" s="1492"/>
      <c r="W8" s="1492"/>
      <c r="X8" s="1492"/>
      <c r="Y8" s="1492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O8" s="1493">
        <v>7</v>
      </c>
      <c r="AP8" s="729" t="s">
        <v>1764</v>
      </c>
      <c r="AQ8" s="1524">
        <v>2</v>
      </c>
      <c r="AR8" s="1491">
        <v>1.2</v>
      </c>
    </row>
    <row r="9" spans="1:44" s="1493" customFormat="1">
      <c r="A9" s="1524">
        <v>3</v>
      </c>
      <c r="B9" s="1527">
        <v>1.2</v>
      </c>
      <c r="C9" s="1528">
        <v>1</v>
      </c>
      <c r="D9" s="1486">
        <f>+'4.ต้นทุนระบายน้ำ'!$D$62</f>
        <v>0.5</v>
      </c>
      <c r="E9" s="1487">
        <f t="shared" si="0"/>
        <v>1.95</v>
      </c>
      <c r="F9" s="1487">
        <f>+VLOOKUP(B9,$AB$10:$AD$14,3)/100</f>
        <v>3.85</v>
      </c>
      <c r="G9" s="1488">
        <f t="shared" si="1"/>
        <v>2.7554250000000002</v>
      </c>
      <c r="H9" s="1489">
        <f t="shared" si="2"/>
        <v>17.169500000000003</v>
      </c>
      <c r="I9" s="1490">
        <f t="shared" si="3"/>
        <v>3.85</v>
      </c>
      <c r="J9" s="1475">
        <f t="shared" si="4"/>
        <v>36</v>
      </c>
      <c r="K9" s="1491">
        <f t="shared" si="5"/>
        <v>3.4</v>
      </c>
      <c r="L9" s="1491">
        <f t="shared" si="6"/>
        <v>40</v>
      </c>
      <c r="M9" s="1491">
        <f t="shared" si="7"/>
        <v>1.65</v>
      </c>
      <c r="N9" s="1491">
        <f>+ROUND(1.45/0.2+1,)*4</f>
        <v>32</v>
      </c>
      <c r="O9" s="1491">
        <v>2.4500000000000002</v>
      </c>
      <c r="P9" s="1491">
        <f t="shared" si="8"/>
        <v>36</v>
      </c>
      <c r="Q9" s="1491">
        <f t="shared" si="9"/>
        <v>3.85</v>
      </c>
      <c r="R9" s="1491">
        <f t="shared" si="10"/>
        <v>12</v>
      </c>
      <c r="S9" s="1491">
        <f t="shared" si="11"/>
        <v>0.97499999999999998</v>
      </c>
      <c r="T9" s="1491">
        <f t="shared" si="12"/>
        <v>40</v>
      </c>
      <c r="U9" s="1491">
        <f t="shared" si="13"/>
        <v>501</v>
      </c>
      <c r="V9" s="1492"/>
      <c r="W9" s="1492"/>
      <c r="X9" s="1492"/>
      <c r="Y9" s="1492"/>
      <c r="AB9" s="1055"/>
      <c r="AC9" s="1525" t="s">
        <v>674</v>
      </c>
      <c r="AD9" s="1525" t="s">
        <v>673</v>
      </c>
      <c r="AE9" s="1526" t="s">
        <v>675</v>
      </c>
      <c r="AH9" s="1055"/>
      <c r="AI9" s="1525" t="s">
        <v>674</v>
      </c>
      <c r="AJ9" s="1525" t="s">
        <v>673</v>
      </c>
      <c r="AK9" s="1526" t="s">
        <v>675</v>
      </c>
      <c r="AL9" s="171"/>
      <c r="AO9" s="1493">
        <v>8</v>
      </c>
      <c r="AP9" s="729" t="s">
        <v>1765</v>
      </c>
      <c r="AQ9" s="1524">
        <v>2</v>
      </c>
      <c r="AR9" s="1491">
        <v>1.5</v>
      </c>
    </row>
    <row r="10" spans="1:44" s="1493" customFormat="1">
      <c r="A10" s="1524">
        <v>4</v>
      </c>
      <c r="B10" s="1527">
        <v>1.5</v>
      </c>
      <c r="C10" s="1528">
        <v>1</v>
      </c>
      <c r="D10" s="1486">
        <f>+'4.ต้นทุนระบายน้ำ'!$D$62</f>
        <v>0.5</v>
      </c>
      <c r="E10" s="1487">
        <f t="shared" si="0"/>
        <v>2.2999999999999998</v>
      </c>
      <c r="F10" s="1487">
        <f>+VLOOKUP(B10,$AB$10:$AD$14,3)/100</f>
        <v>4.8</v>
      </c>
      <c r="G10" s="1488">
        <f t="shared" si="1"/>
        <v>3.8653499999999994</v>
      </c>
      <c r="H10" s="1489">
        <f t="shared" si="2"/>
        <v>24.268999999999998</v>
      </c>
      <c r="I10" s="1490">
        <f t="shared" si="3"/>
        <v>4.8</v>
      </c>
      <c r="J10" s="1475">
        <f t="shared" si="4"/>
        <v>40</v>
      </c>
      <c r="K10" s="1491">
        <f t="shared" si="5"/>
        <v>3.75</v>
      </c>
      <c r="L10" s="1491">
        <f t="shared" si="6"/>
        <v>50</v>
      </c>
      <c r="M10" s="1491">
        <f t="shared" si="7"/>
        <v>1.9999999999999998</v>
      </c>
      <c r="N10" s="1491">
        <f>+ROUND(1.45/0.2+1,)*4</f>
        <v>32</v>
      </c>
      <c r="O10" s="1491">
        <v>3.45</v>
      </c>
      <c r="P10" s="1491">
        <f t="shared" si="8"/>
        <v>44</v>
      </c>
      <c r="Q10" s="1491">
        <f t="shared" si="9"/>
        <v>4.8</v>
      </c>
      <c r="R10" s="1491">
        <f t="shared" si="10"/>
        <v>14</v>
      </c>
      <c r="S10" s="1491">
        <f t="shared" si="11"/>
        <v>1.1499999999999999</v>
      </c>
      <c r="T10" s="1491">
        <f t="shared" si="12"/>
        <v>50</v>
      </c>
      <c r="U10" s="1491">
        <f t="shared" si="13"/>
        <v>720</v>
      </c>
      <c r="V10" s="1492"/>
      <c r="W10" s="1492"/>
      <c r="X10" s="1492"/>
      <c r="Y10" s="1492"/>
      <c r="AB10" s="1491">
        <v>0.6</v>
      </c>
      <c r="AC10" s="1497">
        <f>+IF($C$7=1,AF3,IF($C$7=2,AG3,AH3))</f>
        <v>195</v>
      </c>
      <c r="AD10" s="1497">
        <f>+IF($C$7=1,AC3,IF($C$7=2,AD3,AE3))</f>
        <v>195</v>
      </c>
      <c r="AE10" s="1497">
        <f>+IF($C$7=1,AI3,IF($C$7=2,AJ3,AK3))</f>
        <v>0</v>
      </c>
      <c r="AG10" s="1491">
        <v>0.6</v>
      </c>
      <c r="AH10" s="1491">
        <v>0.6</v>
      </c>
      <c r="AI10" s="1497">
        <f>+IF($C$7=1,AF3,IF($C$7=2,AG3,AH3))</f>
        <v>195</v>
      </c>
      <c r="AJ10" s="1497">
        <f>+IF($C$7=1,AC3,IF($C$7=2,AD3,AE3))</f>
        <v>195</v>
      </c>
      <c r="AK10" s="1497">
        <f>+IF($C$7=1,AI3,IF($C$7=2,AJ3,AK3))</f>
        <v>0</v>
      </c>
      <c r="AL10" s="171"/>
      <c r="AO10" s="1493">
        <v>9</v>
      </c>
      <c r="AP10" s="729" t="s">
        <v>1766</v>
      </c>
      <c r="AQ10" s="1524">
        <v>3</v>
      </c>
      <c r="AR10" s="1491">
        <v>0.8</v>
      </c>
    </row>
    <row r="11" spans="1:44" s="1493" customFormat="1">
      <c r="A11" s="1524">
        <v>5</v>
      </c>
      <c r="B11" s="1527">
        <v>0.8</v>
      </c>
      <c r="C11" s="1528">
        <v>2</v>
      </c>
      <c r="D11" s="1486">
        <f>+'4.ต้นทุนระบายน้ำ'!$D$62</f>
        <v>0.5</v>
      </c>
      <c r="E11" s="1487">
        <f t="shared" si="0"/>
        <v>1.49</v>
      </c>
      <c r="F11" s="1487">
        <f>+VLOOKUP(B11,$AH$18:$AJ$22,3)/100</f>
        <v>3.98</v>
      </c>
      <c r="G11" s="1488">
        <f t="shared" si="1"/>
        <v>2.1057600000000001</v>
      </c>
      <c r="H11" s="1489">
        <f t="shared" si="2"/>
        <v>13.238400000000002</v>
      </c>
      <c r="I11" s="1490">
        <f t="shared" si="3"/>
        <v>3.98</v>
      </c>
      <c r="J11" s="1475">
        <f t="shared" si="4"/>
        <v>32</v>
      </c>
      <c r="K11" s="1491">
        <f t="shared" si="5"/>
        <v>2.94</v>
      </c>
      <c r="L11" s="1491">
        <f t="shared" si="6"/>
        <v>42</v>
      </c>
      <c r="M11" s="1491">
        <f t="shared" si="7"/>
        <v>1.19</v>
      </c>
      <c r="N11" s="1491">
        <f>+ROUND(1.45/0.2+1,)*4</f>
        <v>32</v>
      </c>
      <c r="O11" s="1491">
        <v>1.45</v>
      </c>
      <c r="P11" s="1491">
        <f t="shared" si="8"/>
        <v>28</v>
      </c>
      <c r="Q11" s="1491">
        <f t="shared" si="9"/>
        <v>3.98</v>
      </c>
      <c r="R11" s="1491">
        <f t="shared" si="10"/>
        <v>10</v>
      </c>
      <c r="S11" s="1491">
        <f t="shared" si="11"/>
        <v>0.745</v>
      </c>
      <c r="T11" s="1491">
        <f t="shared" si="12"/>
        <v>42</v>
      </c>
      <c r="U11" s="1491">
        <f t="shared" si="13"/>
        <v>401</v>
      </c>
      <c r="V11" s="1492"/>
      <c r="W11" s="1492"/>
      <c r="X11" s="1492"/>
      <c r="Y11" s="1492"/>
      <c r="AB11" s="1491">
        <v>0.8</v>
      </c>
      <c r="AC11" s="1497">
        <f>+IF($C$7=1,AF4,IF($C$7=2,AG4,AH4))</f>
        <v>239</v>
      </c>
      <c r="AD11" s="1497">
        <f>+IF($C$7=1,AC4,IF($C$7=2,AD4,AE4))</f>
        <v>259</v>
      </c>
      <c r="AE11" s="1497">
        <f>+IF($C$7=1,AI4,IF($C$7=2,AJ4,AK4))</f>
        <v>7.16</v>
      </c>
      <c r="AG11" s="1491">
        <v>0.8</v>
      </c>
      <c r="AH11" s="1491">
        <v>0.8</v>
      </c>
      <c r="AI11" s="1497">
        <f>+IF($C$7=1,AF4,IF($C$7=2,AG4,AH4))</f>
        <v>239</v>
      </c>
      <c r="AJ11" s="1497">
        <f>+IF($C$7=1,AC4,IF($C$7=2,AD4,AE4))</f>
        <v>259</v>
      </c>
      <c r="AK11" s="1497">
        <f>+IF($C$7=1,AI4,IF($C$7=2,AJ4,AK4))</f>
        <v>7.16</v>
      </c>
      <c r="AO11" s="1493">
        <v>10</v>
      </c>
      <c r="AP11" s="729" t="s">
        <v>1767</v>
      </c>
      <c r="AQ11" s="1524">
        <v>3</v>
      </c>
      <c r="AR11" s="1491">
        <v>1</v>
      </c>
    </row>
    <row r="12" spans="1:44" s="1493" customFormat="1">
      <c r="A12" s="1524">
        <v>6</v>
      </c>
      <c r="B12" s="1527">
        <v>1</v>
      </c>
      <c r="C12" s="1528">
        <v>2</v>
      </c>
      <c r="D12" s="1486">
        <f>+'4.ต้นทุนระบายน้ำ'!$D$62</f>
        <v>0.5</v>
      </c>
      <c r="E12" s="1487">
        <f t="shared" si="0"/>
        <v>1.72</v>
      </c>
      <c r="F12" s="1487">
        <f>+VLOOKUP(B12,$AH$18:$AJ$22,3)/100</f>
        <v>4.9400000000000004</v>
      </c>
      <c r="G12" s="1488">
        <f t="shared" si="1"/>
        <v>2.8985399999999997</v>
      </c>
      <c r="H12" s="1489">
        <f t="shared" si="2"/>
        <v>18.323599999999999</v>
      </c>
      <c r="I12" s="1490">
        <f t="shared" si="3"/>
        <v>4.9400000000000004</v>
      </c>
      <c r="J12" s="1475">
        <f t="shared" si="4"/>
        <v>34</v>
      </c>
      <c r="K12" s="1491">
        <f t="shared" si="5"/>
        <v>3.17</v>
      </c>
      <c r="L12" s="1491">
        <f t="shared" si="6"/>
        <v>52</v>
      </c>
      <c r="M12" s="1491">
        <f t="shared" si="7"/>
        <v>1.42</v>
      </c>
      <c r="N12" s="1491">
        <f t="shared" ref="N12:N18" si="14">+ROUND(1.45/0.2+1,)*4</f>
        <v>32</v>
      </c>
      <c r="O12" s="1491">
        <v>2.4500000000000002</v>
      </c>
      <c r="P12" s="1491">
        <f t="shared" si="8"/>
        <v>32</v>
      </c>
      <c r="Q12" s="1491">
        <f t="shared" si="9"/>
        <v>4.9400000000000004</v>
      </c>
      <c r="R12" s="1491">
        <f t="shared" si="10"/>
        <v>10</v>
      </c>
      <c r="S12" s="1491">
        <f t="shared" si="11"/>
        <v>0.86</v>
      </c>
      <c r="T12" s="1491">
        <f t="shared" si="12"/>
        <v>52</v>
      </c>
      <c r="U12" s="1491">
        <f t="shared" si="13"/>
        <v>551</v>
      </c>
      <c r="V12" s="1492"/>
      <c r="W12" s="1492"/>
      <c r="X12" s="1492"/>
      <c r="Y12" s="1492"/>
      <c r="AB12" s="1491">
        <v>1</v>
      </c>
      <c r="AC12" s="1497">
        <f>+IF($C$7=1,AF5,IF($C$7=2,AG5,AH5))</f>
        <v>282</v>
      </c>
      <c r="AD12" s="1497">
        <f>+IF($C$7=1,AC5,IF($C$7=2,AD5,AE5))</f>
        <v>322</v>
      </c>
      <c r="AE12" s="1497">
        <f>+IF($C$7=1,AI5,IF($C$7=2,AJ5,AK5))</f>
        <v>11.44</v>
      </c>
      <c r="AG12" s="1491">
        <v>1</v>
      </c>
      <c r="AH12" s="1491">
        <v>1</v>
      </c>
      <c r="AI12" s="1497">
        <f>+IF($C$7=1,AF5,IF($C$7=2,AG5,AH5))</f>
        <v>282</v>
      </c>
      <c r="AJ12" s="1497">
        <f>+IF($C$7=1,AC5,IF($C$7=2,AD5,AE5))</f>
        <v>322</v>
      </c>
      <c r="AK12" s="1497">
        <f>+IF($C$7=1,AI5,IF($C$7=2,AJ5,AK5))</f>
        <v>11.44</v>
      </c>
      <c r="AO12" s="1493">
        <v>11</v>
      </c>
      <c r="AP12" s="729" t="s">
        <v>1768</v>
      </c>
      <c r="AQ12" s="1524">
        <v>3</v>
      </c>
      <c r="AR12" s="1491">
        <v>1.2</v>
      </c>
    </row>
    <row r="13" spans="1:44" s="1493" customFormat="1">
      <c r="A13" s="1524">
        <v>7</v>
      </c>
      <c r="B13" s="1527">
        <v>1.2</v>
      </c>
      <c r="C13" s="1528">
        <v>2</v>
      </c>
      <c r="D13" s="1486">
        <f>+'4.ต้นทุนระบายน้ำ'!$D$62</f>
        <v>0.5</v>
      </c>
      <c r="E13" s="1487">
        <f t="shared" si="0"/>
        <v>1.95</v>
      </c>
      <c r="F13" s="1487">
        <f>+VLOOKUP(B13,$AH$18:$AJ$22,3)/100</f>
        <v>5.9</v>
      </c>
      <c r="G13" s="1488">
        <f t="shared" si="1"/>
        <v>3.7986</v>
      </c>
      <c r="H13" s="1489">
        <f t="shared" si="2"/>
        <v>24.124000000000002</v>
      </c>
      <c r="I13" s="1490">
        <f t="shared" si="3"/>
        <v>5.9</v>
      </c>
      <c r="J13" s="1475">
        <f t="shared" si="4"/>
        <v>36</v>
      </c>
      <c r="K13" s="1491">
        <f t="shared" si="5"/>
        <v>3.4</v>
      </c>
      <c r="L13" s="1491">
        <f t="shared" si="6"/>
        <v>62</v>
      </c>
      <c r="M13" s="1491">
        <f t="shared" si="7"/>
        <v>1.65</v>
      </c>
      <c r="N13" s="1491">
        <f t="shared" si="14"/>
        <v>32</v>
      </c>
      <c r="O13" s="1491">
        <v>3.45</v>
      </c>
      <c r="P13" s="1491">
        <f t="shared" si="8"/>
        <v>36</v>
      </c>
      <c r="Q13" s="1491">
        <f t="shared" si="9"/>
        <v>5.9</v>
      </c>
      <c r="R13" s="1491">
        <f t="shared" si="10"/>
        <v>12</v>
      </c>
      <c r="S13" s="1491">
        <f t="shared" si="11"/>
        <v>0.97499999999999998</v>
      </c>
      <c r="T13" s="1491">
        <f t="shared" si="12"/>
        <v>62</v>
      </c>
      <c r="U13" s="1491">
        <f t="shared" si="13"/>
        <v>731</v>
      </c>
      <c r="V13" s="1492"/>
      <c r="W13" s="1492"/>
      <c r="X13" s="1492"/>
      <c r="Y13" s="1492"/>
      <c r="AB13" s="1491">
        <v>1.2</v>
      </c>
      <c r="AC13" s="1497">
        <f>+IF($C$7=1,AF6,IF($C$7=2,AG6,AH6))</f>
        <v>325</v>
      </c>
      <c r="AD13" s="1497">
        <f>+IF($C$7=1,AC6,IF($C$7=2,AD6,AE6))</f>
        <v>385</v>
      </c>
      <c r="AE13" s="1497">
        <f>+IF($C$7=1,AI6,IF($C$7=2,AJ6,AK6))</f>
        <v>16.760000000000002</v>
      </c>
      <c r="AG13" s="1491">
        <v>1.2</v>
      </c>
      <c r="AH13" s="1491">
        <v>1.2</v>
      </c>
      <c r="AI13" s="1497">
        <f>+IF($C$7=1,AF6,IF($C$7=2,AG6,AH6))</f>
        <v>325</v>
      </c>
      <c r="AJ13" s="1497">
        <f>+IF($C$7=1,AC6,IF($C$7=2,AD6,AE6))</f>
        <v>385</v>
      </c>
      <c r="AK13" s="1497">
        <f>+IF($C$7=1,AI6,IF($C$7=2,AJ6,AK6))</f>
        <v>16.760000000000002</v>
      </c>
      <c r="AO13" s="1493">
        <v>12</v>
      </c>
      <c r="AP13" s="729" t="s">
        <v>1769</v>
      </c>
      <c r="AQ13" s="1475">
        <v>3</v>
      </c>
      <c r="AR13" s="1491">
        <v>1.5</v>
      </c>
    </row>
    <row r="14" spans="1:44" s="1493" customFormat="1">
      <c r="A14" s="1524">
        <v>8</v>
      </c>
      <c r="B14" s="1527">
        <v>1.5</v>
      </c>
      <c r="C14" s="1528">
        <v>2</v>
      </c>
      <c r="D14" s="1486">
        <f>+'4.ต้นทุนระบายน้ำ'!$D$62</f>
        <v>0.5</v>
      </c>
      <c r="E14" s="1487">
        <f t="shared" si="0"/>
        <v>2.2999999999999998</v>
      </c>
      <c r="F14" s="1487">
        <f>+VLOOKUP(B14,$AH$18:$AJ$22,3)/100</f>
        <v>7.35</v>
      </c>
      <c r="G14" s="1488">
        <f t="shared" si="1"/>
        <v>5.3648249999999997</v>
      </c>
      <c r="H14" s="1489">
        <f t="shared" si="2"/>
        <v>34.265499999999996</v>
      </c>
      <c r="I14" s="1490">
        <f t="shared" si="3"/>
        <v>7.35</v>
      </c>
      <c r="J14" s="1475">
        <f t="shared" si="4"/>
        <v>40</v>
      </c>
      <c r="K14" s="1491">
        <f t="shared" si="5"/>
        <v>3.75</v>
      </c>
      <c r="L14" s="1491">
        <f t="shared" si="6"/>
        <v>76</v>
      </c>
      <c r="M14" s="1491">
        <f t="shared" si="7"/>
        <v>1.9999999999999998</v>
      </c>
      <c r="N14" s="1491">
        <f t="shared" si="14"/>
        <v>32</v>
      </c>
      <c r="O14" s="1491">
        <v>4.45</v>
      </c>
      <c r="P14" s="1491">
        <f t="shared" si="8"/>
        <v>44</v>
      </c>
      <c r="Q14" s="1491">
        <f t="shared" si="9"/>
        <v>7.35</v>
      </c>
      <c r="R14" s="1491">
        <f t="shared" si="10"/>
        <v>14</v>
      </c>
      <c r="S14" s="1491">
        <f t="shared" si="11"/>
        <v>1.1499999999999999</v>
      </c>
      <c r="T14" s="1491">
        <f t="shared" si="12"/>
        <v>76</v>
      </c>
      <c r="U14" s="1491">
        <f t="shared" si="13"/>
        <v>1029</v>
      </c>
      <c r="V14" s="1492"/>
      <c r="W14" s="1492"/>
      <c r="X14" s="1492"/>
      <c r="Y14" s="1492"/>
      <c r="AB14" s="1487">
        <v>1.5</v>
      </c>
      <c r="AC14" s="1497">
        <f>+IF($C$7=1,AF7,IF($C$7=2,AG7,AH7))</f>
        <v>390</v>
      </c>
      <c r="AD14" s="1497">
        <f>+IF($C$7=1,AC7,IF($C$7=2,AD7,AE7))</f>
        <v>480</v>
      </c>
      <c r="AE14" s="1497">
        <f>+IF($C$7=1,AI7,IF($C$7=2,AJ7,AK7))</f>
        <v>24.52</v>
      </c>
      <c r="AG14" s="1487">
        <v>1.5</v>
      </c>
      <c r="AH14" s="1487">
        <v>1.5</v>
      </c>
      <c r="AI14" s="1497">
        <f>+IF($C$7=1,AF7,IF($C$7=2,AG7,AH7))</f>
        <v>390</v>
      </c>
      <c r="AJ14" s="1497">
        <f>+IF($C$7=1,AC7,IF($C$7=2,AD7,AE7))</f>
        <v>480</v>
      </c>
      <c r="AK14" s="1497">
        <f>+IF($C$7=1,AI7,IF($C$7=2,AJ7,AK7))</f>
        <v>24.52</v>
      </c>
    </row>
    <row r="15" spans="1:44">
      <c r="A15" s="1524">
        <v>9</v>
      </c>
      <c r="B15" s="1527">
        <v>0.8</v>
      </c>
      <c r="C15" s="1528">
        <v>3</v>
      </c>
      <c r="D15" s="1486">
        <f>+'4.ต้นทุนระบายน้ำ'!$D$62</f>
        <v>0.5</v>
      </c>
      <c r="E15" s="1487">
        <f t="shared" si="0"/>
        <v>1.49</v>
      </c>
      <c r="F15" s="1487">
        <f>+VLOOKUP(B15,$AB$18:$AD$22,3)/100</f>
        <v>5.37</v>
      </c>
      <c r="G15" s="1488">
        <f t="shared" si="1"/>
        <v>2.6635650000000002</v>
      </c>
      <c r="H15" s="1489">
        <f t="shared" si="2"/>
        <v>16.957100000000001</v>
      </c>
      <c r="I15" s="1490">
        <f t="shared" si="3"/>
        <v>5.37</v>
      </c>
      <c r="J15" s="1475">
        <f t="shared" si="4"/>
        <v>32</v>
      </c>
      <c r="K15" s="1491">
        <f t="shared" si="5"/>
        <v>2.94</v>
      </c>
      <c r="L15" s="1491">
        <f t="shared" si="6"/>
        <v>56</v>
      </c>
      <c r="M15" s="1491">
        <f t="shared" si="7"/>
        <v>1.19</v>
      </c>
      <c r="N15" s="1491">
        <f t="shared" si="14"/>
        <v>32</v>
      </c>
      <c r="O15" s="1491">
        <v>5.45</v>
      </c>
      <c r="P15" s="1491">
        <f t="shared" si="8"/>
        <v>28</v>
      </c>
      <c r="Q15" s="1491">
        <f t="shared" si="9"/>
        <v>5.37</v>
      </c>
      <c r="R15" s="1491">
        <f t="shared" si="10"/>
        <v>10</v>
      </c>
      <c r="S15" s="1491">
        <f t="shared" si="11"/>
        <v>0.745</v>
      </c>
      <c r="T15" s="1491">
        <f t="shared" si="12"/>
        <v>56</v>
      </c>
      <c r="U15" s="1491">
        <f t="shared" si="13"/>
        <v>623</v>
      </c>
    </row>
    <row r="16" spans="1:44">
      <c r="A16" s="1524">
        <v>10</v>
      </c>
      <c r="B16" s="1527">
        <v>1</v>
      </c>
      <c r="C16" s="1528">
        <v>3</v>
      </c>
      <c r="D16" s="1486">
        <f>+'4.ต้นทุนระบายน้ำ'!$D$62</f>
        <v>0.5</v>
      </c>
      <c r="E16" s="1487">
        <f t="shared" si="0"/>
        <v>1.72</v>
      </c>
      <c r="F16" s="1487">
        <f>+VLOOKUP(B16,$AB$18:$AD$22,3)/100</f>
        <v>6.66</v>
      </c>
      <c r="G16" s="1488">
        <f t="shared" si="1"/>
        <v>3.6825599999999996</v>
      </c>
      <c r="H16" s="1489">
        <f t="shared" si="2"/>
        <v>23.5504</v>
      </c>
      <c r="I16" s="1490">
        <f t="shared" si="3"/>
        <v>6.66</v>
      </c>
      <c r="J16" s="1475">
        <f t="shared" si="4"/>
        <v>34</v>
      </c>
      <c r="K16" s="1491">
        <f t="shared" si="5"/>
        <v>3.17</v>
      </c>
      <c r="L16" s="1491">
        <f t="shared" si="6"/>
        <v>68</v>
      </c>
      <c r="M16" s="1491">
        <f t="shared" si="7"/>
        <v>1.42</v>
      </c>
      <c r="N16" s="1491">
        <f t="shared" si="14"/>
        <v>32</v>
      </c>
      <c r="O16" s="1491">
        <v>6.45</v>
      </c>
      <c r="P16" s="1491">
        <f t="shared" si="8"/>
        <v>32</v>
      </c>
      <c r="Q16" s="1491">
        <f t="shared" si="9"/>
        <v>6.66</v>
      </c>
      <c r="R16" s="1491">
        <f t="shared" si="10"/>
        <v>10</v>
      </c>
      <c r="S16" s="1491">
        <f t="shared" si="11"/>
        <v>0.86</v>
      </c>
      <c r="T16" s="1491">
        <f t="shared" si="12"/>
        <v>68</v>
      </c>
      <c r="U16" s="1491">
        <f t="shared" si="13"/>
        <v>819</v>
      </c>
    </row>
    <row r="17" spans="1:51">
      <c r="A17" s="1524">
        <v>11</v>
      </c>
      <c r="B17" s="1527">
        <v>1.2</v>
      </c>
      <c r="C17" s="1528">
        <v>3</v>
      </c>
      <c r="D17" s="1486">
        <f>+'4.ต้นทุนระบายน้ำ'!$D$62</f>
        <v>0.5</v>
      </c>
      <c r="E17" s="1487">
        <f t="shared" si="0"/>
        <v>1.95</v>
      </c>
      <c r="F17" s="1487">
        <f>+VLOOKUP(B17,$AB$18:$AD$22,3)/100</f>
        <v>7.95</v>
      </c>
      <c r="G17" s="1488">
        <f t="shared" si="1"/>
        <v>4.8417749999999993</v>
      </c>
      <c r="H17" s="1489">
        <f t="shared" si="2"/>
        <v>31.078499999999995</v>
      </c>
      <c r="I17" s="1490">
        <f t="shared" si="3"/>
        <v>7.95</v>
      </c>
      <c r="J17" s="1475">
        <f t="shared" si="4"/>
        <v>36</v>
      </c>
      <c r="K17" s="1491">
        <f t="shared" si="5"/>
        <v>3.4</v>
      </c>
      <c r="L17" s="1491">
        <f t="shared" si="6"/>
        <v>82</v>
      </c>
      <c r="M17" s="1491">
        <f t="shared" si="7"/>
        <v>1.65</v>
      </c>
      <c r="N17" s="1491">
        <f t="shared" si="14"/>
        <v>32</v>
      </c>
      <c r="O17" s="1491">
        <v>7.45</v>
      </c>
      <c r="P17" s="1491">
        <f t="shared" si="8"/>
        <v>36</v>
      </c>
      <c r="Q17" s="1491">
        <f t="shared" si="9"/>
        <v>7.95</v>
      </c>
      <c r="R17" s="1491">
        <f t="shared" si="10"/>
        <v>12</v>
      </c>
      <c r="S17" s="1491">
        <f t="shared" si="11"/>
        <v>0.97499999999999998</v>
      </c>
      <c r="T17" s="1491">
        <f t="shared" si="12"/>
        <v>82</v>
      </c>
      <c r="U17" s="1491">
        <f t="shared" si="13"/>
        <v>1061</v>
      </c>
      <c r="AA17" s="1493"/>
      <c r="AC17" s="1525" t="s">
        <v>674</v>
      </c>
      <c r="AD17" s="1525" t="s">
        <v>673</v>
      </c>
      <c r="AE17" s="1526" t="s">
        <v>675</v>
      </c>
      <c r="AG17" s="1493"/>
      <c r="AI17" s="1525" t="s">
        <v>674</v>
      </c>
      <c r="AJ17" s="1525" t="s">
        <v>673</v>
      </c>
      <c r="AK17" s="1526" t="s">
        <v>675</v>
      </c>
    </row>
    <row r="18" spans="1:51">
      <c r="A18" s="1524">
        <v>12</v>
      </c>
      <c r="B18" s="1527">
        <v>1.5</v>
      </c>
      <c r="C18" s="1528">
        <v>3</v>
      </c>
      <c r="D18" s="1486">
        <f>+'4.ต้นทุนระบายน้ำ'!$D$62</f>
        <v>0.5</v>
      </c>
      <c r="E18" s="1487">
        <f t="shared" si="0"/>
        <v>2.2999999999999998</v>
      </c>
      <c r="F18" s="1487">
        <f>+VLOOKUP(B18,$AB$18:$AD$22,3)/100</f>
        <v>9.9</v>
      </c>
      <c r="G18" s="1488">
        <f t="shared" si="1"/>
        <v>6.8643000000000001</v>
      </c>
      <c r="H18" s="1489">
        <f t="shared" si="2"/>
        <v>44.262</v>
      </c>
      <c r="I18" s="1490">
        <f t="shared" si="3"/>
        <v>9.9</v>
      </c>
      <c r="J18" s="1475">
        <f t="shared" si="4"/>
        <v>40</v>
      </c>
      <c r="K18" s="1491">
        <f t="shared" si="5"/>
        <v>3.75</v>
      </c>
      <c r="L18" s="1491">
        <f t="shared" si="6"/>
        <v>102</v>
      </c>
      <c r="M18" s="1491">
        <f t="shared" si="7"/>
        <v>1.9999999999999998</v>
      </c>
      <c r="N18" s="1491">
        <f t="shared" si="14"/>
        <v>32</v>
      </c>
      <c r="O18" s="1491">
        <v>8.4499999999999993</v>
      </c>
      <c r="P18" s="1491">
        <f t="shared" si="8"/>
        <v>44</v>
      </c>
      <c r="Q18" s="1491">
        <f t="shared" si="9"/>
        <v>9.9</v>
      </c>
      <c r="R18" s="1491">
        <f t="shared" si="10"/>
        <v>14</v>
      </c>
      <c r="S18" s="1491">
        <f t="shared" si="11"/>
        <v>1.1499999999999999</v>
      </c>
      <c r="T18" s="1491">
        <f t="shared" si="12"/>
        <v>102</v>
      </c>
      <c r="U18" s="1491">
        <f t="shared" si="13"/>
        <v>1470</v>
      </c>
      <c r="AA18" s="1491">
        <v>0.6</v>
      </c>
      <c r="AB18" s="1491">
        <v>0.6</v>
      </c>
      <c r="AC18" s="1497">
        <f>+IF($C$15=1,AF3,IF($C$15=2,AG3,AH3))</f>
        <v>195</v>
      </c>
      <c r="AD18" s="1497">
        <f>+IF($C$15=1,AC3,IF($C$15=2,AD3,AE3))</f>
        <v>405</v>
      </c>
      <c r="AE18" s="1497">
        <f>+IF($C$15=1,AI3,IF($C$15=2,AJ3,AK3))</f>
        <v>0</v>
      </c>
      <c r="AG18" s="1491">
        <v>0.6</v>
      </c>
      <c r="AH18" s="1491">
        <v>0.6</v>
      </c>
      <c r="AI18" s="1497">
        <f>+IF($C$11=1,AF3,IF($C$11=2,AG3,AH3))</f>
        <v>195</v>
      </c>
      <c r="AJ18" s="1497">
        <f>+IF($C$11=1,AC3,IF($C$11=2,AD3,AE3))</f>
        <v>300</v>
      </c>
      <c r="AK18" s="1497">
        <f>+IF($C$11=1,AI3,IF($C$11=2,AJ3,AK3))</f>
        <v>0</v>
      </c>
    </row>
    <row r="19" spans="1:51">
      <c r="B19"/>
      <c r="C19"/>
      <c r="AA19" s="1491">
        <v>0.8</v>
      </c>
      <c r="AB19" s="1491">
        <v>0.8</v>
      </c>
      <c r="AC19" s="1497">
        <f>+IF($C$15=1,AF4,IF($C$15=2,AG4,AH4))</f>
        <v>239</v>
      </c>
      <c r="AD19" s="1497">
        <f>+IF($C$15=1,AC4,IF($C$15=2,AD4,AE4))</f>
        <v>537</v>
      </c>
      <c r="AE19" s="1497">
        <f>+IF($C$15=1,AI4,IF($C$15=2,AJ4,AK4))</f>
        <v>21.48</v>
      </c>
      <c r="AG19" s="1491">
        <v>0.8</v>
      </c>
      <c r="AH19" s="1491">
        <v>0.8</v>
      </c>
      <c r="AI19" s="1497">
        <f>+IF($C$11=1,AF4,IF($C$11=2,AG4,AH4))</f>
        <v>239</v>
      </c>
      <c r="AJ19" s="1497">
        <f>+IF($C$11=1,AC4,IF($C$11=2,AD4,AE4))</f>
        <v>398</v>
      </c>
      <c r="AK19" s="1497">
        <f>+IF($C$11=1,AI4,IF($C$11=2,AJ4,AK4))</f>
        <v>14.32</v>
      </c>
    </row>
    <row r="20" spans="1:51">
      <c r="D20"/>
      <c r="E20"/>
      <c r="F20"/>
      <c r="G20"/>
      <c r="H20"/>
      <c r="I20"/>
      <c r="J20"/>
      <c r="K20"/>
      <c r="L20"/>
      <c r="M20"/>
      <c r="N20"/>
      <c r="AA20" s="1491">
        <v>1</v>
      </c>
      <c r="AB20" s="1491">
        <v>1</v>
      </c>
      <c r="AC20" s="1497">
        <f>+IF($C$15=1,AF5,IF($C$15=2,AG5,AH5))</f>
        <v>282</v>
      </c>
      <c r="AD20" s="1497">
        <f>+IF($C$15=1,AC5,IF($C$15=2,AD5,AE5))</f>
        <v>666</v>
      </c>
      <c r="AE20" s="1497">
        <f>+IF($C$15=1,AI5,IF($C$15=2,AJ5,AK5))</f>
        <v>34.32</v>
      </c>
      <c r="AG20" s="1491">
        <v>1</v>
      </c>
      <c r="AH20" s="1491">
        <v>1</v>
      </c>
      <c r="AI20" s="1497">
        <f>+IF($C$11=1,AF5,IF($C$11=2,AG5,AH5))</f>
        <v>282</v>
      </c>
      <c r="AJ20" s="1497">
        <f>+IF($C$11=1,AC5,IF($C$11=2,AD5,AE5))</f>
        <v>494</v>
      </c>
      <c r="AK20" s="1497">
        <f>+IF($C$11=1,AI5,IF($C$11=2,AJ5,AK5))</f>
        <v>22.88</v>
      </c>
    </row>
    <row r="21" spans="1:51">
      <c r="A21" s="1524">
        <v>6</v>
      </c>
      <c r="B21" s="1527">
        <f>+VLOOKUP($A$21,$A$7:$B$18,2)</f>
        <v>1</v>
      </c>
      <c r="C21" s="1527">
        <f>+VLOOKUP($A$21,$A$7:$C$18,3)</f>
        <v>2</v>
      </c>
      <c r="D21" s="1527">
        <f>+VLOOKUP($A$21,$A$7:$D$18,4)</f>
        <v>0.5</v>
      </c>
      <c r="E21" s="1527">
        <f>+VLOOKUP($A$21,$A$7:$U$18,5)</f>
        <v>1.72</v>
      </c>
      <c r="F21" s="1527">
        <f>+VLOOKUP($A$21,$A$7:$U$18,6)</f>
        <v>4.9400000000000004</v>
      </c>
      <c r="G21" s="1527">
        <f>+VLOOKUP($A$21,$A$7:$U$18,7)</f>
        <v>2.8985399999999997</v>
      </c>
      <c r="H21" s="1527">
        <f>+VLOOKUP($A$21,$A$7:$U$18,8)</f>
        <v>18.323599999999999</v>
      </c>
      <c r="I21" s="1527">
        <f>+VLOOKUP($A$21,$A$7:$U$18,9)</f>
        <v>4.9400000000000004</v>
      </c>
      <c r="J21" s="1527">
        <f>+VLOOKUP($A$21,$A$7:$U$18,10)</f>
        <v>34</v>
      </c>
      <c r="K21" s="1527">
        <f>+VLOOKUP($A$21,$A$7:$U$18,11)</f>
        <v>3.17</v>
      </c>
      <c r="L21" s="1527">
        <f>+VLOOKUP($A$21,$A$7:$U$18,12)</f>
        <v>52</v>
      </c>
      <c r="M21" s="1527">
        <f>+VLOOKUP($A$21,$A$7:$U$18,13)</f>
        <v>1.42</v>
      </c>
      <c r="N21" s="1527">
        <f>+VLOOKUP($A$21,$A$7:$U$18,14)</f>
        <v>32</v>
      </c>
      <c r="O21" s="1527">
        <f>+VLOOKUP($A$21,$A$7:$U$18,15)</f>
        <v>2.4500000000000002</v>
      </c>
      <c r="P21" s="1527">
        <f>+VLOOKUP($A$21,$A$7:$U$18,16)</f>
        <v>32</v>
      </c>
      <c r="Q21" s="1527">
        <f>+VLOOKUP($A$21,$A$7:$U$18,17)</f>
        <v>4.9400000000000004</v>
      </c>
      <c r="R21" s="1527">
        <f>+VLOOKUP($A$21,$A$7:$U$18,18)</f>
        <v>10</v>
      </c>
      <c r="S21" s="1527">
        <f>+VLOOKUP($A$21,$A$7:$U$18,19)</f>
        <v>0.86</v>
      </c>
      <c r="T21" s="1527">
        <f>+VLOOKUP($A$21,$A$7:$U$18,20)</f>
        <v>52</v>
      </c>
      <c r="U21" s="1527">
        <f>+VLOOKUP($A$21,$A$7:$U$18,21)</f>
        <v>551</v>
      </c>
      <c r="AA21" s="1491">
        <v>1.2</v>
      </c>
      <c r="AB21" s="1491">
        <v>1.2</v>
      </c>
      <c r="AC21" s="1497">
        <f>+IF($C$15=1,AF6,IF($C$15=2,AG6,AH6))</f>
        <v>325</v>
      </c>
      <c r="AD21" s="1497">
        <f>+IF($C$15=1,AC6,IF($C$15=2,AD6,AE6))</f>
        <v>795</v>
      </c>
      <c r="AE21" s="1497">
        <f>+IF($C$15=1,AI6,IF($C$15=2,AJ6,AK6))</f>
        <v>50.28</v>
      </c>
      <c r="AG21" s="1491">
        <v>1.2</v>
      </c>
      <c r="AH21" s="1491">
        <v>1.2</v>
      </c>
      <c r="AI21" s="1497">
        <f>+IF($C$11=1,AF6,IF($C$11=2,AG6,AH6))</f>
        <v>325</v>
      </c>
      <c r="AJ21" s="1497">
        <f>+IF($C$11=1,AC6,IF($C$11=2,AD6,AE6))</f>
        <v>590</v>
      </c>
      <c r="AK21" s="1497">
        <f>+IF($C$11=1,AI6,IF($C$11=2,AJ6,AK6))</f>
        <v>33.520000000000003</v>
      </c>
    </row>
    <row r="22" spans="1:51">
      <c r="A22" s="1524">
        <v>5</v>
      </c>
      <c r="B22" s="1527">
        <f>+VLOOKUP($A$22,$A$7:$B$18,2)</f>
        <v>0.8</v>
      </c>
      <c r="C22" s="1527">
        <f>+VLOOKUP($A$22,$A$7:$C$18,3)</f>
        <v>2</v>
      </c>
      <c r="D22" s="1527">
        <f>+VLOOKUP($A$22,$A$7:$D$18,4)</f>
        <v>0.5</v>
      </c>
      <c r="E22" s="1527">
        <f>+VLOOKUP($A$22,$A$7:$U$18,5)</f>
        <v>1.49</v>
      </c>
      <c r="F22" s="1527">
        <f>+VLOOKUP($A$22,$A$7:$U$18,6)</f>
        <v>3.98</v>
      </c>
      <c r="G22" s="1527">
        <f>+VLOOKUP($A$22,$A$7:$U$18,7)</f>
        <v>2.1057600000000001</v>
      </c>
      <c r="H22" s="1527">
        <f>+VLOOKUP($A$22,$A$7:$U$18,8)</f>
        <v>13.238400000000002</v>
      </c>
      <c r="I22" s="1527">
        <f>+VLOOKUP($A$22,$A$7:$U$18,9)</f>
        <v>3.98</v>
      </c>
      <c r="J22" s="1527">
        <f>+VLOOKUP($A$22,$A$7:$U$18,10)</f>
        <v>32</v>
      </c>
      <c r="K22" s="1527">
        <f>+VLOOKUP($A$22,$A$7:$U$18,11)</f>
        <v>2.94</v>
      </c>
      <c r="L22" s="1527">
        <f>+VLOOKUP($A$22,$A$7:$U$18,12)</f>
        <v>42</v>
      </c>
      <c r="M22" s="1527">
        <f>+VLOOKUP($A$22,$A$7:$U$18,13)</f>
        <v>1.19</v>
      </c>
      <c r="N22" s="1527">
        <f>+VLOOKUP($A$22,$A$7:$U$18,14)</f>
        <v>32</v>
      </c>
      <c r="O22" s="1527">
        <f>+VLOOKUP($A$22,$A$7:$U$18,15)</f>
        <v>1.45</v>
      </c>
      <c r="P22" s="1527">
        <f>+VLOOKUP($A$22,$A$7:$U$18,16)</f>
        <v>28</v>
      </c>
      <c r="Q22" s="1527">
        <f>+VLOOKUP($A$22,$A$7:$U$18,17)</f>
        <v>3.98</v>
      </c>
      <c r="R22" s="1527">
        <f>+VLOOKUP($A$22,$A$7:$U$18,18)</f>
        <v>10</v>
      </c>
      <c r="S22" s="1527">
        <f>+VLOOKUP($A$22,$A$7:$U$18,19)</f>
        <v>0.745</v>
      </c>
      <c r="T22" s="1527">
        <f>+VLOOKUP($A$22,$A$7:$U$18,20)</f>
        <v>42</v>
      </c>
      <c r="U22" s="1527">
        <f>+VLOOKUP($A$22,$A$7:$U$18,21)</f>
        <v>401</v>
      </c>
      <c r="AA22" s="1487">
        <v>1.5</v>
      </c>
      <c r="AB22" s="1487">
        <v>1.5</v>
      </c>
      <c r="AC22" s="1497">
        <f>+IF($C$15=1,AF7,IF($C$15=2,AG7,AH7))</f>
        <v>390</v>
      </c>
      <c r="AD22" s="1497">
        <f>+IF($C$15=1,AC7,IF($C$15=2,AD7,AE7))</f>
        <v>990</v>
      </c>
      <c r="AE22" s="1497">
        <f>+IF($C$15=1,AI7,IF($C$15=2,AJ7,AK7))</f>
        <v>73.56</v>
      </c>
      <c r="AG22" s="1487">
        <v>1.5</v>
      </c>
      <c r="AH22" s="1487">
        <v>1.5</v>
      </c>
      <c r="AI22" s="1497">
        <f>+IF($C$11=1,AF7,IF($C$11=2,AG7,AH7))</f>
        <v>390</v>
      </c>
      <c r="AJ22" s="1497">
        <f>+IF($C$11=1,AC7,IF($C$11=2,AD7,AE7))</f>
        <v>735</v>
      </c>
      <c r="AK22" s="1497">
        <f>+IF($C$11=1,AI7,IF($C$11=2,AJ7,AK7))</f>
        <v>49.04</v>
      </c>
    </row>
    <row r="23" spans="1:51">
      <c r="A23" s="1524">
        <v>9</v>
      </c>
      <c r="B23" s="1527">
        <f>+VLOOKUP($A$23,$A$7:$B$18,2)</f>
        <v>0.8</v>
      </c>
      <c r="C23" s="1527">
        <f>+VLOOKUP($A$23,$A$7:$C$18,3)</f>
        <v>3</v>
      </c>
      <c r="D23" s="1527">
        <f>+VLOOKUP($A$23,$A$7:$D$18,4)</f>
        <v>0.5</v>
      </c>
      <c r="E23" s="1527">
        <f>+VLOOKUP($A$23,$A$7:$U$18,5)</f>
        <v>1.49</v>
      </c>
      <c r="F23" s="1527">
        <f>+VLOOKUP($A$23,$A$7:$U$18,6)</f>
        <v>5.37</v>
      </c>
      <c r="G23" s="1527">
        <f>+VLOOKUP($A$23,$A$7:$U$18,7)</f>
        <v>2.6635650000000002</v>
      </c>
      <c r="H23" s="1527">
        <f>+VLOOKUP($A$23,$A$7:$U$18,8)</f>
        <v>16.957100000000001</v>
      </c>
      <c r="I23" s="1527">
        <f>+VLOOKUP($A$23,$A$7:$U$18,9)</f>
        <v>5.37</v>
      </c>
      <c r="J23" s="1527">
        <f>+VLOOKUP($A$23,$A$7:$U$18,10)</f>
        <v>32</v>
      </c>
      <c r="K23" s="1527">
        <f>+VLOOKUP($A$23,$A$7:$U$18,11)</f>
        <v>2.94</v>
      </c>
      <c r="L23" s="1527">
        <f>+VLOOKUP($A$23,$A$7:$U$18,12)</f>
        <v>56</v>
      </c>
      <c r="M23" s="1527">
        <f>+VLOOKUP($A$23,$A$7:$U$18,13)</f>
        <v>1.19</v>
      </c>
      <c r="N23" s="1527">
        <f>+VLOOKUP($A$23,$A$7:$U$18,14)</f>
        <v>32</v>
      </c>
      <c r="O23" s="1527">
        <f>+VLOOKUP($A$23,$A$7:$U$18,15)</f>
        <v>5.45</v>
      </c>
      <c r="P23" s="1527">
        <f>+VLOOKUP($A$23,$A$7:$U$18,16)</f>
        <v>28</v>
      </c>
      <c r="Q23" s="1527">
        <f>+VLOOKUP($A$23,$A$7:$U$18,17)</f>
        <v>5.37</v>
      </c>
      <c r="R23" s="1527">
        <f>+VLOOKUP($A$23,$A$7:$U$18,18)</f>
        <v>10</v>
      </c>
      <c r="S23" s="1527">
        <f>+VLOOKUP($A$23,$A$7:$U$18,19)</f>
        <v>0.745</v>
      </c>
      <c r="T23" s="1527">
        <f>+VLOOKUP($A$23,$A$7:$U$18,20)</f>
        <v>56</v>
      </c>
      <c r="U23" s="1527">
        <f>+VLOOKUP($A$23,$A$7:$U$18,21)</f>
        <v>623</v>
      </c>
    </row>
    <row r="24" spans="1:51">
      <c r="D24"/>
      <c r="E24"/>
      <c r="F24"/>
      <c r="G24"/>
      <c r="H24"/>
      <c r="I24"/>
      <c r="J24"/>
      <c r="K24"/>
      <c r="L24"/>
      <c r="M24"/>
      <c r="N24"/>
    </row>
    <row r="25" spans="1:51">
      <c r="D25"/>
      <c r="E25"/>
      <c r="F25"/>
      <c r="G25"/>
      <c r="H25"/>
      <c r="I25"/>
      <c r="J25"/>
      <c r="K25"/>
      <c r="L25"/>
      <c r="M25"/>
      <c r="N25"/>
    </row>
    <row r="26" spans="1:51">
      <c r="D26"/>
      <c r="E26"/>
      <c r="F26"/>
      <c r="G26"/>
      <c r="H26"/>
      <c r="I26"/>
      <c r="J26"/>
      <c r="K26"/>
      <c r="L26"/>
      <c r="M26"/>
      <c r="N26"/>
      <c r="Z26" s="1493"/>
      <c r="AA26"/>
      <c r="AF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D27"/>
      <c r="E27"/>
      <c r="F27"/>
      <c r="G27"/>
      <c r="H27"/>
      <c r="I27"/>
      <c r="J27"/>
      <c r="K27"/>
      <c r="L27"/>
      <c r="M27"/>
      <c r="N27"/>
      <c r="Z27" s="1493"/>
      <c r="AA27"/>
      <c r="AF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D28"/>
      <c r="E28"/>
      <c r="F28"/>
      <c r="G28"/>
      <c r="H28"/>
      <c r="I28"/>
      <c r="J28"/>
      <c r="K28"/>
      <c r="L28"/>
      <c r="M28"/>
      <c r="N28"/>
      <c r="AA28"/>
      <c r="AB28"/>
      <c r="AC28"/>
      <c r="AD28"/>
      <c r="AE28"/>
      <c r="AF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>
      <c r="D29"/>
      <c r="E29"/>
      <c r="F29"/>
      <c r="G29"/>
      <c r="H29"/>
      <c r="I29"/>
      <c r="J29"/>
      <c r="K29"/>
      <c r="L29"/>
      <c r="M29"/>
      <c r="N29"/>
      <c r="O29" s="1055"/>
      <c r="P29" s="1055"/>
      <c r="Q29" s="1055"/>
      <c r="R29" s="1055"/>
      <c r="S29" s="1055"/>
      <c r="T29" s="1055"/>
      <c r="U29" s="1055"/>
      <c r="V29" s="1055"/>
      <c r="W29" s="1055"/>
      <c r="X29" s="1055"/>
      <c r="Y29" s="1055"/>
      <c r="AA29"/>
      <c r="AB29"/>
      <c r="AC29"/>
      <c r="AD29"/>
      <c r="AE29"/>
      <c r="AF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D30"/>
      <c r="E30"/>
      <c r="F30"/>
      <c r="G30"/>
      <c r="H30"/>
      <c r="I30"/>
      <c r="J30"/>
      <c r="K30"/>
      <c r="L30"/>
      <c r="M30"/>
      <c r="N30"/>
      <c r="O30" s="1055"/>
      <c r="P30" s="1055"/>
      <c r="Q30" s="1055"/>
      <c r="R30" s="1055"/>
      <c r="S30" s="1055"/>
      <c r="T30" s="1055"/>
      <c r="U30" s="1055"/>
      <c r="V30" s="1055"/>
      <c r="W30" s="1055"/>
      <c r="X30" s="1055"/>
      <c r="Y30" s="1055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>
      <c r="D31"/>
      <c r="E31"/>
      <c r="F31"/>
      <c r="G31"/>
      <c r="H31"/>
      <c r="I31"/>
      <c r="J31"/>
      <c r="K31"/>
      <c r="L31"/>
      <c r="M31"/>
      <c r="N31"/>
      <c r="O31" s="1055"/>
      <c r="P31" s="1055"/>
      <c r="Q31" s="1055"/>
      <c r="R31" s="1055"/>
      <c r="S31" s="1055"/>
      <c r="T31" s="1055"/>
      <c r="U31" s="1055"/>
      <c r="V31" s="1055"/>
      <c r="W31" s="1055"/>
      <c r="X31" s="1055"/>
      <c r="Y31" s="1055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>
      <c r="D32"/>
      <c r="E32"/>
      <c r="F32"/>
      <c r="G32"/>
      <c r="H32"/>
      <c r="I32"/>
      <c r="J32"/>
      <c r="K32"/>
      <c r="L32"/>
      <c r="M32"/>
      <c r="N32"/>
      <c r="O32" s="1055"/>
      <c r="P32" s="1055"/>
      <c r="Q32" s="1055"/>
      <c r="R32" s="1055"/>
      <c r="S32" s="1055"/>
      <c r="T32" s="1055"/>
      <c r="U32" s="1055"/>
      <c r="V32" s="1055"/>
      <c r="W32" s="1055"/>
      <c r="X32" s="1055"/>
      <c r="Y32" s="1055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4:51">
      <c r="D33"/>
      <c r="E33"/>
      <c r="F33"/>
      <c r="G33"/>
      <c r="H33"/>
      <c r="I33"/>
      <c r="J33"/>
      <c r="K33"/>
      <c r="L33"/>
      <c r="M33"/>
      <c r="N33"/>
      <c r="O33" s="1055"/>
      <c r="P33" s="1055"/>
      <c r="Q33" s="1055"/>
      <c r="R33" s="1055"/>
      <c r="S33" s="1055"/>
      <c r="T33" s="1055"/>
      <c r="U33" s="1055"/>
      <c r="V33" s="1055"/>
      <c r="W33" s="1055"/>
      <c r="X33" s="1055"/>
      <c r="Y33" s="1055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4:51">
      <c r="D34"/>
      <c r="E34"/>
      <c r="F34"/>
      <c r="G34"/>
      <c r="H34"/>
      <c r="I34"/>
      <c r="J34"/>
      <c r="K34"/>
      <c r="L34"/>
      <c r="M34"/>
      <c r="N34"/>
      <c r="O34" s="1055"/>
      <c r="P34" s="1055"/>
      <c r="Q34" s="1055"/>
      <c r="R34" s="1055"/>
      <c r="S34" s="1055"/>
      <c r="T34" s="1055"/>
      <c r="U34" s="1055"/>
      <c r="V34" s="1055"/>
      <c r="W34" s="1055"/>
      <c r="X34" s="1055"/>
      <c r="Y34" s="1055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4:51">
      <c r="D35"/>
      <c r="E35"/>
      <c r="F35"/>
      <c r="G35"/>
      <c r="H35"/>
      <c r="I35"/>
      <c r="J35"/>
      <c r="K35"/>
      <c r="L35"/>
      <c r="M35"/>
      <c r="N35"/>
      <c r="O35" s="1055"/>
      <c r="P35" s="1055"/>
      <c r="Q35" s="1055"/>
      <c r="R35" s="1055"/>
      <c r="S35" s="1055"/>
      <c r="T35" s="1055"/>
      <c r="U35" s="1055"/>
      <c r="V35" s="1055"/>
      <c r="W35" s="1055"/>
      <c r="X35" s="1055"/>
      <c r="Y35" s="105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4:51" ht="23.25" customHeight="1">
      <c r="D36"/>
      <c r="E36"/>
      <c r="F36"/>
      <c r="G36"/>
      <c r="H36"/>
      <c r="I36"/>
      <c r="J36"/>
      <c r="K36"/>
      <c r="L36"/>
      <c r="M36"/>
      <c r="N36"/>
      <c r="O36" s="1055"/>
      <c r="P36" s="1055"/>
      <c r="Q36" s="1055"/>
      <c r="R36" s="1055"/>
      <c r="S36" s="1055"/>
      <c r="T36" s="1055"/>
      <c r="U36" s="1055"/>
      <c r="V36" s="1055"/>
      <c r="W36" s="1055"/>
      <c r="X36" s="1055"/>
      <c r="Y36" s="1055"/>
      <c r="AB36" s="171"/>
      <c r="AC36" s="171"/>
    </row>
    <row r="37" spans="4:51">
      <c r="D37"/>
      <c r="E37"/>
      <c r="F37"/>
      <c r="G37"/>
      <c r="H37"/>
      <c r="I37"/>
      <c r="J37"/>
      <c r="K37"/>
      <c r="L37"/>
      <c r="M37"/>
      <c r="N37"/>
      <c r="O37" s="1055"/>
      <c r="P37" s="1055"/>
      <c r="Q37" s="1055"/>
      <c r="R37" s="1055"/>
      <c r="S37" s="1055"/>
      <c r="T37" s="1055"/>
      <c r="U37" s="1055"/>
      <c r="V37" s="1055"/>
      <c r="W37" s="1055"/>
      <c r="X37" s="1055"/>
      <c r="Y37" s="1055"/>
      <c r="AB37" s="171"/>
      <c r="AC37" s="171"/>
    </row>
    <row r="38" spans="4:51">
      <c r="D38"/>
      <c r="E38"/>
      <c r="F38"/>
      <c r="G38"/>
      <c r="H38"/>
      <c r="I38"/>
      <c r="J38"/>
      <c r="K38"/>
      <c r="L38"/>
      <c r="M38"/>
      <c r="N38"/>
      <c r="O38" s="1055"/>
      <c r="P38" s="1055"/>
      <c r="Q38" s="1055"/>
      <c r="R38" s="1055"/>
      <c r="S38" s="1055"/>
      <c r="T38" s="1055"/>
      <c r="U38" s="1055"/>
      <c r="V38" s="1055"/>
      <c r="W38" s="1055"/>
      <c r="X38" s="1055"/>
      <c r="Y38" s="1055"/>
      <c r="AB38" s="171"/>
      <c r="AC38" s="171"/>
    </row>
    <row r="39" spans="4:51">
      <c r="D39"/>
      <c r="E39"/>
      <c r="F39"/>
      <c r="G39"/>
      <c r="H39"/>
      <c r="I39"/>
      <c r="J39"/>
      <c r="K39"/>
      <c r="L39"/>
      <c r="M39"/>
      <c r="N39"/>
      <c r="O39" s="1055"/>
      <c r="P39" s="1055"/>
      <c r="Q39" s="1055"/>
      <c r="R39" s="1055"/>
      <c r="S39" s="1055"/>
      <c r="T39" s="1055"/>
      <c r="U39" s="1055"/>
      <c r="V39" s="1055"/>
      <c r="W39" s="1055"/>
      <c r="X39" s="1055"/>
      <c r="Y39" s="1055"/>
      <c r="AB39" s="171"/>
      <c r="AC39" s="171"/>
    </row>
    <row r="40" spans="4:51">
      <c r="D40"/>
      <c r="E40"/>
      <c r="F40"/>
      <c r="G40"/>
      <c r="H40"/>
      <c r="I40"/>
      <c r="J40"/>
      <c r="K40"/>
      <c r="L40"/>
      <c r="M40"/>
      <c r="N40"/>
      <c r="O40" s="1055"/>
      <c r="P40" s="1055"/>
      <c r="Q40" s="1055"/>
      <c r="R40" s="1055"/>
      <c r="S40" s="1055"/>
      <c r="T40" s="1055"/>
      <c r="U40" s="1055"/>
      <c r="V40" s="1055"/>
      <c r="W40" s="1055"/>
      <c r="X40" s="1055"/>
      <c r="Y40" s="1055"/>
    </row>
    <row r="41" spans="4:51">
      <c r="D41"/>
      <c r="E41"/>
      <c r="F41"/>
      <c r="G41"/>
      <c r="H41"/>
      <c r="I41"/>
      <c r="J41"/>
      <c r="K41"/>
      <c r="L41"/>
      <c r="M41"/>
      <c r="N41"/>
      <c r="O41" s="1055"/>
      <c r="P41" s="1055"/>
      <c r="Q41" s="1055"/>
      <c r="R41" s="1055"/>
      <c r="S41" s="1055"/>
      <c r="T41" s="1055"/>
      <c r="U41" s="1055"/>
      <c r="V41" s="1055"/>
      <c r="W41" s="1055"/>
      <c r="X41" s="1055"/>
      <c r="Y41" s="1055"/>
    </row>
    <row r="42" spans="4:51">
      <c r="D42"/>
      <c r="E42"/>
      <c r="F42"/>
      <c r="G42"/>
      <c r="H42"/>
      <c r="I42"/>
      <c r="J42"/>
      <c r="K42"/>
      <c r="L42"/>
      <c r="M42"/>
      <c r="N42"/>
      <c r="O42" s="1055"/>
      <c r="P42" s="1055"/>
      <c r="Q42" s="1055"/>
      <c r="R42" s="1055"/>
      <c r="S42" s="1055"/>
      <c r="T42" s="1055"/>
      <c r="U42" s="1055"/>
      <c r="V42" s="1055"/>
      <c r="W42" s="1055"/>
      <c r="X42" s="1055"/>
      <c r="Y42" s="1055"/>
    </row>
    <row r="43" spans="4:51">
      <c r="D43"/>
      <c r="E43"/>
      <c r="F43"/>
      <c r="G43"/>
      <c r="H43"/>
      <c r="I43"/>
      <c r="J43"/>
      <c r="K43"/>
      <c r="L43"/>
      <c r="M43"/>
      <c r="N43"/>
      <c r="O43" s="1055"/>
      <c r="P43" s="1055"/>
      <c r="Q43" s="1055"/>
      <c r="R43" s="1055"/>
      <c r="S43" s="1055"/>
      <c r="T43" s="1055"/>
      <c r="U43" s="1055"/>
      <c r="V43" s="1055"/>
      <c r="W43" s="1055"/>
      <c r="X43" s="1055"/>
      <c r="Y43" s="1055"/>
    </row>
    <row r="44" spans="4:51">
      <c r="D44"/>
      <c r="E44"/>
      <c r="F44"/>
      <c r="G44"/>
      <c r="H44"/>
      <c r="I44"/>
      <c r="J44"/>
      <c r="K44"/>
      <c r="L44"/>
      <c r="M44"/>
      <c r="N44"/>
      <c r="O44" s="1055"/>
      <c r="P44" s="1055"/>
      <c r="Q44" s="1055"/>
      <c r="R44" s="1055"/>
      <c r="S44" s="1055"/>
      <c r="T44" s="1055"/>
      <c r="U44" s="1055"/>
      <c r="V44" s="1055"/>
      <c r="W44" s="1055"/>
      <c r="X44" s="1055"/>
      <c r="Y44" s="1055"/>
    </row>
    <row r="45" spans="4:51">
      <c r="D45"/>
      <c r="E45"/>
      <c r="F45"/>
      <c r="G45"/>
      <c r="H45"/>
      <c r="I45"/>
      <c r="J45"/>
      <c r="K45"/>
      <c r="L45"/>
      <c r="M45"/>
      <c r="N45"/>
      <c r="O45" s="1055"/>
      <c r="P45" s="1055"/>
      <c r="Q45" s="1055"/>
      <c r="R45" s="1055"/>
      <c r="S45" s="1055"/>
      <c r="T45" s="1055"/>
      <c r="U45" s="1055"/>
      <c r="V45" s="1055"/>
      <c r="W45" s="1055"/>
      <c r="X45" s="1055"/>
      <c r="Y45" s="1055"/>
    </row>
    <row r="46" spans="4:51">
      <c r="D46"/>
      <c r="E46"/>
      <c r="F46"/>
      <c r="G46"/>
      <c r="H46"/>
      <c r="I46"/>
      <c r="J46"/>
      <c r="K46"/>
      <c r="L46"/>
      <c r="M46"/>
      <c r="N46"/>
    </row>
    <row r="47" spans="4:51">
      <c r="D47"/>
      <c r="E47"/>
      <c r="F47"/>
      <c r="G47"/>
      <c r="H47"/>
      <c r="I47"/>
      <c r="J47"/>
      <c r="K47"/>
      <c r="L47"/>
      <c r="M47"/>
      <c r="N47"/>
    </row>
    <row r="48" spans="4:51">
      <c r="D48"/>
      <c r="E48"/>
      <c r="F48"/>
      <c r="G48"/>
      <c r="H48"/>
      <c r="I48"/>
      <c r="J48"/>
      <c r="K48"/>
      <c r="L48"/>
      <c r="M48"/>
      <c r="N48"/>
    </row>
    <row r="49" spans="1:38">
      <c r="D49"/>
      <c r="E49"/>
      <c r="F49"/>
      <c r="G49"/>
      <c r="H49"/>
      <c r="I49"/>
      <c r="J49"/>
      <c r="K49"/>
      <c r="L49"/>
      <c r="M49"/>
      <c r="N49"/>
    </row>
    <row r="50" spans="1:38">
      <c r="D50"/>
      <c r="E50"/>
      <c r="F50"/>
      <c r="G50"/>
      <c r="H50"/>
      <c r="I50"/>
      <c r="J50"/>
      <c r="K50"/>
      <c r="L50"/>
      <c r="M50"/>
      <c r="N50"/>
    </row>
    <row r="51" spans="1:38">
      <c r="D51"/>
      <c r="E51"/>
      <c r="F51"/>
      <c r="G51"/>
      <c r="H51"/>
      <c r="I51"/>
      <c r="J51"/>
      <c r="K51"/>
      <c r="L51"/>
      <c r="M51"/>
      <c r="N51"/>
    </row>
    <row r="52" spans="1:38" s="1493" customFormat="1" ht="23.25" customHeight="1">
      <c r="A52" s="1934"/>
      <c r="D52"/>
      <c r="E52"/>
      <c r="F52"/>
      <c r="G52"/>
      <c r="H52"/>
      <c r="I52"/>
      <c r="J52"/>
      <c r="K52"/>
      <c r="L52"/>
      <c r="M52"/>
      <c r="N52"/>
      <c r="O52" s="1492"/>
      <c r="P52" s="1492"/>
      <c r="Q52" s="1492"/>
      <c r="R52" s="1492"/>
      <c r="S52" s="1492"/>
      <c r="T52" s="1492"/>
      <c r="U52" s="1492"/>
      <c r="V52" s="1492"/>
      <c r="W52" s="1492"/>
      <c r="X52" s="1492"/>
      <c r="Y52" s="1492"/>
    </row>
    <row r="53" spans="1:38" s="1493" customFormat="1">
      <c r="A53" s="1934"/>
      <c r="D53"/>
      <c r="E53"/>
      <c r="F53"/>
      <c r="G53"/>
      <c r="H53"/>
      <c r="I53"/>
      <c r="J53"/>
      <c r="K53"/>
      <c r="L53"/>
      <c r="M53"/>
      <c r="N53"/>
      <c r="O53" s="1492"/>
      <c r="P53" s="1492"/>
      <c r="Q53" s="1492"/>
      <c r="R53" s="1492"/>
      <c r="S53" s="1492"/>
      <c r="T53" s="1492"/>
      <c r="U53" s="1492"/>
      <c r="V53" s="1492"/>
      <c r="W53" s="1492"/>
      <c r="X53" s="1492"/>
      <c r="Y53" s="1492"/>
      <c r="AL53" s="171"/>
    </row>
    <row r="54" spans="1:38" s="1493" customFormat="1">
      <c r="A54" s="1934"/>
      <c r="D54"/>
      <c r="E54"/>
      <c r="F54"/>
      <c r="G54"/>
      <c r="H54"/>
      <c r="I54"/>
      <c r="J54"/>
      <c r="K54"/>
      <c r="L54"/>
      <c r="M54"/>
      <c r="N54"/>
      <c r="O54" s="1492"/>
      <c r="P54" s="1492"/>
      <c r="Q54" s="1492"/>
      <c r="R54" s="1492"/>
      <c r="S54" s="1492"/>
      <c r="T54" s="1492"/>
      <c r="U54" s="1492"/>
      <c r="V54" s="1492"/>
      <c r="W54" s="1492"/>
      <c r="X54" s="1492"/>
      <c r="Y54" s="1492"/>
      <c r="AL54" s="171"/>
    </row>
    <row r="55" spans="1:38" s="1493" customFormat="1">
      <c r="A55" s="1934"/>
      <c r="D55"/>
      <c r="E55"/>
      <c r="F55"/>
      <c r="G55"/>
      <c r="H55"/>
      <c r="I55"/>
      <c r="J55"/>
      <c r="K55"/>
      <c r="L55"/>
      <c r="M55"/>
      <c r="N55"/>
      <c r="O55" s="1492"/>
      <c r="P55" s="1492"/>
      <c r="Q55" s="1492"/>
      <c r="R55" s="1492"/>
      <c r="S55" s="1492"/>
      <c r="T55" s="1492"/>
      <c r="U55" s="1492"/>
      <c r="V55" s="1492"/>
      <c r="W55" s="1492"/>
      <c r="X55" s="1492"/>
      <c r="Y55" s="1492"/>
      <c r="AL55" s="171"/>
    </row>
    <row r="56" spans="1:38" s="1493" customFormat="1">
      <c r="A56" s="1934"/>
      <c r="D56"/>
      <c r="E56"/>
      <c r="F56"/>
      <c r="G56"/>
      <c r="H56"/>
      <c r="I56"/>
      <c r="J56"/>
      <c r="K56"/>
      <c r="L56"/>
      <c r="M56"/>
      <c r="N56"/>
      <c r="O56" s="1492"/>
      <c r="P56" s="1492"/>
      <c r="Q56" s="1492"/>
      <c r="R56" s="1492"/>
      <c r="S56" s="1492"/>
      <c r="T56" s="1492"/>
      <c r="U56" s="1492"/>
      <c r="V56" s="1492"/>
      <c r="W56" s="1492"/>
      <c r="X56" s="1492"/>
      <c r="Y56" s="1492"/>
    </row>
    <row r="57" spans="1:38" s="1493" customFormat="1">
      <c r="A57" s="1934"/>
      <c r="D57"/>
      <c r="E57"/>
      <c r="F57"/>
      <c r="G57"/>
      <c r="H57"/>
      <c r="I57"/>
      <c r="J57"/>
      <c r="K57"/>
      <c r="L57"/>
      <c r="M57"/>
      <c r="N57"/>
      <c r="O57" s="1492"/>
      <c r="P57" s="1492"/>
      <c r="Q57" s="1492"/>
      <c r="R57" s="1492"/>
      <c r="S57" s="1492"/>
      <c r="T57" s="1492"/>
      <c r="U57" s="1492"/>
      <c r="V57" s="1492"/>
      <c r="W57" s="1492"/>
      <c r="X57" s="1492"/>
      <c r="Y57" s="1492"/>
    </row>
    <row r="58" spans="1:38" s="1493" customFormat="1">
      <c r="A58" s="1934"/>
      <c r="D58"/>
      <c r="E58"/>
      <c r="F58"/>
      <c r="G58"/>
      <c r="H58"/>
      <c r="I58"/>
      <c r="J58"/>
      <c r="K58"/>
      <c r="L58"/>
      <c r="M58"/>
      <c r="N58"/>
      <c r="O58" s="1492"/>
      <c r="P58" s="1492"/>
      <c r="Q58" s="1492"/>
      <c r="R58" s="1492"/>
      <c r="S58" s="1492"/>
      <c r="T58" s="1492"/>
      <c r="U58" s="1492"/>
      <c r="V58" s="1492"/>
      <c r="W58" s="1492"/>
      <c r="X58" s="1492"/>
      <c r="Y58" s="1492"/>
    </row>
    <row r="59" spans="1:38" s="1493" customFormat="1">
      <c r="A59" s="1934"/>
      <c r="D59"/>
      <c r="E59"/>
      <c r="F59"/>
      <c r="G59"/>
      <c r="H59"/>
      <c r="I59"/>
      <c r="J59"/>
      <c r="K59"/>
      <c r="L59"/>
      <c r="M59"/>
      <c r="N59"/>
      <c r="O59" s="1492"/>
      <c r="P59" s="1492"/>
      <c r="Q59" s="1492"/>
      <c r="R59" s="1492"/>
      <c r="S59" s="1492"/>
      <c r="T59" s="1492"/>
      <c r="U59" s="1492"/>
      <c r="V59" s="1492"/>
      <c r="W59" s="1492"/>
      <c r="X59" s="1492"/>
      <c r="Y59" s="1492"/>
    </row>
    <row r="60" spans="1:38">
      <c r="D60"/>
      <c r="E60"/>
      <c r="F60"/>
      <c r="G60"/>
      <c r="H60"/>
      <c r="I60"/>
      <c r="J60"/>
      <c r="K60"/>
      <c r="L60"/>
      <c r="M60"/>
      <c r="N60"/>
    </row>
    <row r="61" spans="1:38">
      <c r="D61"/>
      <c r="E61"/>
      <c r="F61"/>
      <c r="G61"/>
      <c r="H61"/>
      <c r="I61"/>
      <c r="J61"/>
      <c r="K61"/>
      <c r="L61"/>
      <c r="M61"/>
      <c r="N61"/>
    </row>
    <row r="62" spans="1:38" ht="24">
      <c r="D62"/>
      <c r="E62"/>
      <c r="F62"/>
      <c r="G62"/>
      <c r="H62"/>
      <c r="I62"/>
      <c r="J62"/>
      <c r="K62"/>
      <c r="L62"/>
      <c r="M62"/>
      <c r="N62"/>
      <c r="AC62" s="1056"/>
      <c r="AD62" s="1506"/>
    </row>
    <row r="63" spans="1:38" ht="24">
      <c r="D63"/>
      <c r="E63"/>
      <c r="F63"/>
      <c r="G63"/>
      <c r="H63"/>
      <c r="I63"/>
      <c r="J63"/>
      <c r="K63"/>
      <c r="L63"/>
      <c r="M63"/>
      <c r="N63"/>
      <c r="AC63" s="1056"/>
      <c r="AD63" s="1506"/>
      <c r="AJ63" s="1507"/>
    </row>
    <row r="64" spans="1:38" ht="24">
      <c r="D64"/>
      <c r="E64"/>
      <c r="F64"/>
      <c r="G64"/>
      <c r="H64"/>
      <c r="I64"/>
      <c r="J64"/>
      <c r="K64"/>
      <c r="L64"/>
      <c r="M64"/>
      <c r="N64"/>
      <c r="AC64" s="1056"/>
      <c r="AD64" s="1506"/>
    </row>
    <row r="65" spans="4:36">
      <c r="D65"/>
      <c r="E65"/>
      <c r="F65"/>
      <c r="G65"/>
      <c r="H65"/>
      <c r="I65"/>
      <c r="J65"/>
      <c r="K65"/>
      <c r="L65"/>
      <c r="M65"/>
      <c r="N65"/>
    </row>
    <row r="66" spans="4:36">
      <c r="D66"/>
      <c r="E66"/>
      <c r="F66"/>
      <c r="G66"/>
      <c r="H66"/>
      <c r="I66"/>
      <c r="J66"/>
      <c r="K66"/>
      <c r="L66"/>
      <c r="M66"/>
      <c r="N66"/>
    </row>
    <row r="67" spans="4:36">
      <c r="D67"/>
      <c r="E67"/>
      <c r="F67"/>
      <c r="G67"/>
      <c r="H67"/>
      <c r="I67"/>
      <c r="J67"/>
      <c r="K67"/>
      <c r="L67"/>
      <c r="M67"/>
      <c r="N67"/>
      <c r="Z67" s="171"/>
    </row>
    <row r="68" spans="4:36">
      <c r="D68"/>
      <c r="E68"/>
      <c r="F68"/>
      <c r="G68"/>
      <c r="H68"/>
      <c r="I68"/>
      <c r="J68"/>
      <c r="K68"/>
      <c r="L68"/>
      <c r="M68"/>
      <c r="N68"/>
      <c r="Z68" s="171"/>
      <c r="AA68" s="2824" t="s">
        <v>465</v>
      </c>
      <c r="AB68" s="2825"/>
      <c r="AC68" s="2825"/>
      <c r="AD68" s="2825"/>
      <c r="AE68" s="2825"/>
      <c r="AF68" s="2825"/>
      <c r="AG68" s="2825"/>
      <c r="AH68" s="2825"/>
      <c r="AI68" s="2825"/>
      <c r="AJ68" s="2826"/>
    </row>
    <row r="69" spans="4:36">
      <c r="D69"/>
      <c r="E69"/>
      <c r="F69"/>
      <c r="G69"/>
      <c r="H69"/>
      <c r="I69"/>
      <c r="J69"/>
      <c r="K69"/>
      <c r="L69"/>
      <c r="M69"/>
      <c r="N69"/>
      <c r="Z69" s="171"/>
      <c r="AA69" s="1482" t="s">
        <v>494</v>
      </c>
      <c r="AB69" s="1482" t="s">
        <v>439</v>
      </c>
      <c r="AC69" s="1482" t="s">
        <v>438</v>
      </c>
      <c r="AD69" s="1482" t="s">
        <v>282</v>
      </c>
      <c r="AE69" s="1482" t="s">
        <v>283</v>
      </c>
      <c r="AF69" s="2824" t="s">
        <v>1235</v>
      </c>
      <c r="AG69" s="2825"/>
      <c r="AH69" s="2825"/>
      <c r="AI69" s="2826"/>
      <c r="AJ69" s="1482" t="s">
        <v>496</v>
      </c>
    </row>
    <row r="70" spans="4:36" ht="24.75">
      <c r="D70"/>
      <c r="E70"/>
      <c r="F70"/>
      <c r="G70"/>
      <c r="H70"/>
      <c r="I70"/>
      <c r="J70"/>
      <c r="K70"/>
      <c r="L70"/>
      <c r="M70"/>
      <c r="N70"/>
      <c r="Z70" s="171"/>
      <c r="AA70" s="1483" t="s">
        <v>495</v>
      </c>
      <c r="AB70" s="1483" t="s">
        <v>495</v>
      </c>
      <c r="AC70" s="1483" t="s">
        <v>495</v>
      </c>
      <c r="AD70" s="1483" t="s">
        <v>1236</v>
      </c>
      <c r="AE70" s="1483" t="s">
        <v>1237</v>
      </c>
      <c r="AF70" s="1484" t="s">
        <v>280</v>
      </c>
      <c r="AG70" s="1485" t="s">
        <v>281</v>
      </c>
      <c r="AH70" s="1484" t="s">
        <v>280</v>
      </c>
      <c r="AI70" s="1485" t="s">
        <v>281</v>
      </c>
      <c r="AJ70" s="1483" t="s">
        <v>497</v>
      </c>
    </row>
    <row r="71" spans="4:36">
      <c r="D71"/>
      <c r="E71"/>
      <c r="F71"/>
      <c r="G71"/>
      <c r="H71"/>
      <c r="I71"/>
      <c r="J71"/>
      <c r="K71"/>
      <c r="L71"/>
      <c r="M71"/>
      <c r="N71"/>
      <c r="Z71" s="171"/>
      <c r="AA71" s="1508">
        <v>1</v>
      </c>
      <c r="AB71" s="1487">
        <v>0.5</v>
      </c>
      <c r="AC71" s="1487">
        <v>1</v>
      </c>
      <c r="AD71" s="1488">
        <f>ROUND((SQRT((AB71^2+AB71^2))+AA71+SQRT((1^2+0.5^2)))*0.07,3)</f>
        <v>0.19800000000000001</v>
      </c>
      <c r="AE71" s="1489">
        <f>AF71*0.07</f>
        <v>0.19775000000000004</v>
      </c>
      <c r="AF71" s="1490">
        <f>ROUND((SQRT((AB71^2+AB71^2))+AA71+SQRT((1^2+0.5^2))),3)</f>
        <v>2.8250000000000002</v>
      </c>
      <c r="AG71" s="1475">
        <v>6</v>
      </c>
      <c r="AH71" s="1491">
        <v>1</v>
      </c>
      <c r="AI71" s="1491">
        <f>ROUND(10+(AA71/0.2),)</f>
        <v>15</v>
      </c>
      <c r="AJ71" s="1497">
        <f>ROUND((AF71*AG71+AH71*AI71)*0.222,3)</f>
        <v>7.093</v>
      </c>
    </row>
    <row r="72" spans="4:36" ht="24">
      <c r="D72"/>
      <c r="E72"/>
      <c r="F72"/>
      <c r="G72"/>
      <c r="H72"/>
      <c r="I72"/>
      <c r="J72"/>
      <c r="K72"/>
      <c r="L72"/>
      <c r="M72"/>
      <c r="N72"/>
      <c r="AA72" s="1509" t="s">
        <v>467</v>
      </c>
      <c r="AB72" s="1502"/>
      <c r="AC72" s="1510"/>
      <c r="AD72" s="1511"/>
      <c r="AE72" s="1056"/>
      <c r="AF72" s="1056"/>
      <c r="AG72" s="1509" t="s">
        <v>468</v>
      </c>
      <c r="AH72" s="1512"/>
      <c r="AJ72" s="1056"/>
    </row>
    <row r="73" spans="4:36">
      <c r="D73"/>
      <c r="E73"/>
      <c r="F73"/>
      <c r="G73"/>
      <c r="H73"/>
      <c r="I73"/>
      <c r="J73"/>
      <c r="K73"/>
      <c r="L73"/>
      <c r="M73"/>
      <c r="N73"/>
      <c r="AA73" s="1513" t="s">
        <v>469</v>
      </c>
      <c r="AB73" s="1514" t="s">
        <v>470</v>
      </c>
      <c r="AC73" s="1485" t="s">
        <v>471</v>
      </c>
      <c r="AD73" s="1515" t="s">
        <v>472</v>
      </c>
      <c r="AE73" s="1484" t="s">
        <v>276</v>
      </c>
      <c r="AF73" s="1056"/>
      <c r="AG73" s="1513" t="s">
        <v>469</v>
      </c>
      <c r="AH73" s="1514" t="s">
        <v>470</v>
      </c>
      <c r="AI73" s="1485" t="s">
        <v>471</v>
      </c>
      <c r="AJ73" s="1515" t="s">
        <v>472</v>
      </c>
    </row>
    <row r="74" spans="4:36">
      <c r="D74"/>
      <c r="E74"/>
      <c r="F74"/>
      <c r="G74"/>
      <c r="H74"/>
      <c r="I74"/>
      <c r="J74"/>
      <c r="K74"/>
      <c r="L74"/>
      <c r="M74"/>
      <c r="N74"/>
      <c r="O74" s="1055"/>
      <c r="P74" s="1055"/>
      <c r="Q74" s="1055"/>
      <c r="R74" s="1055"/>
      <c r="S74" s="1055"/>
      <c r="T74" s="1055"/>
      <c r="U74" s="1055"/>
      <c r="V74" s="1055"/>
      <c r="W74" s="1055"/>
      <c r="X74" s="1055"/>
      <c r="Y74" s="1055"/>
      <c r="AA74" s="1516">
        <v>7100</v>
      </c>
      <c r="AB74" s="1517" t="s">
        <v>473</v>
      </c>
      <c r="AC74" s="1518">
        <v>7150</v>
      </c>
      <c r="AD74" s="1491">
        <f>+AC74-AA74</f>
        <v>50</v>
      </c>
      <c r="AE74" s="1475">
        <f>+AD74*3</f>
        <v>150</v>
      </c>
      <c r="AF74" s="1056"/>
      <c r="AG74" s="1516">
        <v>6900</v>
      </c>
      <c r="AH74" s="1517" t="s">
        <v>473</v>
      </c>
      <c r="AI74" s="1518">
        <v>7150</v>
      </c>
      <c r="AJ74" s="1491">
        <f>+AI74-AG74</f>
        <v>250</v>
      </c>
    </row>
    <row r="75" spans="4:36">
      <c r="D75"/>
      <c r="E75"/>
      <c r="F75"/>
      <c r="G75"/>
      <c r="H75"/>
      <c r="I75"/>
      <c r="J75"/>
      <c r="K75"/>
      <c r="L75"/>
      <c r="M75"/>
      <c r="N75"/>
      <c r="O75" s="1055"/>
      <c r="P75" s="1055"/>
      <c r="Q75" s="1055"/>
      <c r="R75" s="1055"/>
      <c r="S75" s="1055"/>
      <c r="T75" s="1055"/>
      <c r="U75" s="1055"/>
      <c r="V75" s="1055"/>
      <c r="W75" s="1055"/>
      <c r="X75" s="1055"/>
      <c r="Y75" s="1055"/>
      <c r="AA75" s="1516">
        <v>7150</v>
      </c>
      <c r="AB75" s="1517" t="s">
        <v>473</v>
      </c>
      <c r="AC75" s="1518">
        <v>7200</v>
      </c>
      <c r="AD75" s="1491">
        <f>+AC75-AA75</f>
        <v>50</v>
      </c>
      <c r="AE75" s="1475">
        <f>+AD75*3</f>
        <v>150</v>
      </c>
      <c r="AF75" s="1056"/>
      <c r="AG75" s="1516">
        <v>7150</v>
      </c>
      <c r="AH75" s="1517" t="s">
        <v>473</v>
      </c>
      <c r="AI75" s="1518">
        <v>7200</v>
      </c>
      <c r="AJ75" s="1491">
        <f>+AI75-AG75</f>
        <v>50</v>
      </c>
    </row>
    <row r="76" spans="4:36">
      <c r="D76"/>
      <c r="E76"/>
      <c r="F76"/>
      <c r="G76"/>
      <c r="H76"/>
      <c r="I76"/>
      <c r="J76"/>
      <c r="K76"/>
      <c r="L76"/>
      <c r="M76"/>
      <c r="N76"/>
      <c r="O76" s="1055"/>
      <c r="P76" s="1055"/>
      <c r="Q76" s="1055"/>
      <c r="R76" s="1055"/>
      <c r="S76" s="1055"/>
      <c r="T76" s="1055"/>
      <c r="U76" s="1055"/>
      <c r="V76" s="1055"/>
      <c r="W76" s="1055"/>
      <c r="X76" s="1055"/>
      <c r="Y76" s="1055"/>
      <c r="AA76" s="1516">
        <v>7275</v>
      </c>
      <c r="AB76" s="1517" t="s">
        <v>473</v>
      </c>
      <c r="AC76" s="1518">
        <v>7375</v>
      </c>
      <c r="AD76" s="1491">
        <f>+AC76-AA76</f>
        <v>100</v>
      </c>
      <c r="AE76" s="1475">
        <f>+AD76*3</f>
        <v>300</v>
      </c>
      <c r="AF76" s="1056"/>
      <c r="AG76" s="1516">
        <v>7400</v>
      </c>
      <c r="AH76" s="1517" t="s">
        <v>473</v>
      </c>
      <c r="AI76" s="1518">
        <v>7600</v>
      </c>
      <c r="AJ76" s="1491">
        <f>+AI76-AG76</f>
        <v>200</v>
      </c>
    </row>
    <row r="77" spans="4:36">
      <c r="D77"/>
      <c r="E77"/>
      <c r="F77"/>
      <c r="G77"/>
      <c r="H77"/>
      <c r="I77"/>
      <c r="J77"/>
      <c r="K77"/>
      <c r="L77"/>
      <c r="M77"/>
      <c r="N77"/>
      <c r="O77" s="1055"/>
      <c r="P77" s="1055"/>
      <c r="Q77" s="1055"/>
      <c r="R77" s="1055"/>
      <c r="S77" s="1055"/>
      <c r="T77" s="1055"/>
      <c r="U77" s="1055"/>
      <c r="V77" s="1055"/>
      <c r="W77" s="1055"/>
      <c r="X77" s="1055"/>
      <c r="Y77" s="1055"/>
      <c r="AA77" s="1516"/>
      <c r="AB77" s="1517" t="s">
        <v>473</v>
      </c>
      <c r="AC77" s="1518"/>
      <c r="AD77" s="1491">
        <f>+AC77-AA77</f>
        <v>0</v>
      </c>
      <c r="AE77" s="1475">
        <f>+AD77*3</f>
        <v>0</v>
      </c>
      <c r="AF77" s="1056"/>
      <c r="AG77" s="1516"/>
      <c r="AH77" s="1517" t="s">
        <v>473</v>
      </c>
      <c r="AI77" s="1518"/>
      <c r="AJ77" s="1491"/>
    </row>
    <row r="78" spans="4:36">
      <c r="D78"/>
      <c r="E78"/>
      <c r="F78"/>
      <c r="G78"/>
      <c r="H78"/>
      <c r="I78"/>
      <c r="J78"/>
      <c r="K78"/>
      <c r="L78"/>
      <c r="M78"/>
      <c r="N78"/>
      <c r="O78" s="1055"/>
      <c r="P78" s="1055"/>
      <c r="Q78" s="1055"/>
      <c r="R78" s="1055"/>
      <c r="S78" s="1055"/>
      <c r="T78" s="1055"/>
      <c r="U78" s="1055"/>
      <c r="V78" s="1055"/>
      <c r="W78" s="1055"/>
      <c r="X78" s="1055"/>
      <c r="Y78" s="1055"/>
      <c r="AA78" s="1516"/>
      <c r="AB78" s="1517" t="s">
        <v>473</v>
      </c>
      <c r="AC78" s="1518"/>
      <c r="AD78" s="1491"/>
      <c r="AE78" s="1475"/>
      <c r="AF78" s="1056"/>
      <c r="AG78" s="1516"/>
      <c r="AH78" s="1517" t="s">
        <v>473</v>
      </c>
      <c r="AI78" s="1518"/>
      <c r="AJ78" s="1491"/>
    </row>
    <row r="79" spans="4:36">
      <c r="D79"/>
      <c r="E79"/>
      <c r="F79"/>
      <c r="G79"/>
      <c r="H79"/>
      <c r="I79"/>
      <c r="J79"/>
      <c r="K79"/>
      <c r="L79"/>
      <c r="M79"/>
      <c r="N79"/>
      <c r="O79" s="1055"/>
      <c r="P79" s="1055"/>
      <c r="Q79" s="1055"/>
      <c r="R79" s="1055"/>
      <c r="S79" s="1055"/>
      <c r="T79" s="1055"/>
      <c r="U79" s="1055"/>
      <c r="V79" s="1055"/>
      <c r="W79" s="1055"/>
      <c r="X79" s="1055"/>
      <c r="Y79" s="1055"/>
      <c r="AA79" s="1516"/>
      <c r="AB79" s="1517" t="s">
        <v>473</v>
      </c>
      <c r="AC79" s="1518"/>
      <c r="AD79" s="1491"/>
      <c r="AE79" s="1475"/>
      <c r="AF79" s="1056"/>
      <c r="AG79" s="1516"/>
      <c r="AH79" s="1517" t="s">
        <v>473</v>
      </c>
      <c r="AI79" s="1518"/>
      <c r="AJ79" s="1491"/>
    </row>
    <row r="80" spans="4:36">
      <c r="D80"/>
      <c r="E80"/>
      <c r="F80"/>
      <c r="G80"/>
      <c r="H80"/>
      <c r="I80"/>
      <c r="J80"/>
      <c r="K80"/>
      <c r="L80"/>
      <c r="M80"/>
      <c r="N80"/>
      <c r="O80" s="1055"/>
      <c r="P80" s="1055"/>
      <c r="Q80" s="1055"/>
      <c r="R80" s="1055"/>
      <c r="S80" s="1055"/>
      <c r="T80" s="1055"/>
      <c r="U80" s="1055"/>
      <c r="V80" s="1055"/>
      <c r="W80" s="1055"/>
      <c r="X80" s="1055"/>
      <c r="Y80" s="1055"/>
      <c r="AA80" s="1516"/>
      <c r="AB80" s="1517" t="s">
        <v>473</v>
      </c>
      <c r="AC80" s="1518"/>
      <c r="AD80" s="1519"/>
      <c r="AE80" s="1520"/>
      <c r="AG80" s="1516"/>
      <c r="AH80" s="1517" t="s">
        <v>473</v>
      </c>
      <c r="AI80" s="1518"/>
      <c r="AJ80" s="1519"/>
    </row>
    <row r="81" spans="1:36" ht="23.25" customHeight="1">
      <c r="D81"/>
      <c r="E81"/>
      <c r="F81"/>
      <c r="G81"/>
      <c r="H81"/>
      <c r="I81"/>
      <c r="J81"/>
      <c r="K81"/>
      <c r="L81"/>
      <c r="M81"/>
      <c r="N81"/>
      <c r="O81" s="1055"/>
      <c r="P81" s="1055"/>
      <c r="Q81" s="1055"/>
      <c r="R81" s="1055"/>
      <c r="S81" s="1055"/>
      <c r="T81" s="1055"/>
      <c r="U81" s="1055"/>
      <c r="V81" s="1055"/>
      <c r="W81" s="1055"/>
      <c r="X81" s="1055"/>
      <c r="Y81" s="1055"/>
      <c r="AA81" s="2815" t="s">
        <v>28</v>
      </c>
      <c r="AB81" s="2816"/>
      <c r="AC81" s="2817"/>
      <c r="AD81" s="1521">
        <f>SUM(AD74:AD80)</f>
        <v>200</v>
      </c>
      <c r="AE81" s="1521">
        <f>SUM(AE74:AE80)</f>
        <v>600</v>
      </c>
      <c r="AG81" s="2815" t="s">
        <v>28</v>
      </c>
      <c r="AH81" s="2816"/>
      <c r="AI81" s="2817"/>
      <c r="AJ81" s="1521">
        <f>SUM(AJ74:AJ80)</f>
        <v>500</v>
      </c>
    </row>
    <row r="82" spans="1:36"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055"/>
      <c r="P82" s="1055"/>
      <c r="Q82" s="1055"/>
      <c r="R82" s="1055"/>
      <c r="S82" s="1055"/>
      <c r="T82" s="1055"/>
      <c r="U82" s="1055"/>
      <c r="V82" s="1055"/>
      <c r="W82" s="1055"/>
      <c r="X82" s="1055"/>
      <c r="Y82" s="1055"/>
      <c r="AC82" s="1056"/>
      <c r="AD82" s="1522"/>
    </row>
    <row r="83" spans="1:36"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055"/>
      <c r="P83" s="1055"/>
      <c r="Q83" s="1055"/>
      <c r="R83" s="1055"/>
      <c r="S83" s="1055"/>
      <c r="T83" s="1055"/>
      <c r="U83" s="1055"/>
      <c r="V83" s="1055"/>
      <c r="W83" s="1055"/>
      <c r="X83" s="1055"/>
      <c r="Y83" s="1055"/>
      <c r="AB83" s="171"/>
      <c r="AC83" s="171"/>
    </row>
    <row r="84" spans="1:36"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055"/>
      <c r="P84" s="1055"/>
      <c r="Q84" s="1055"/>
      <c r="R84" s="1055"/>
      <c r="S84" s="1055"/>
      <c r="T84" s="1055"/>
      <c r="U84" s="1055"/>
      <c r="V84" s="1055"/>
      <c r="W84" s="1055"/>
      <c r="X84" s="1055"/>
      <c r="Y84" s="1055"/>
      <c r="AB84" s="171"/>
      <c r="AC84" s="171"/>
    </row>
    <row r="85" spans="1:36"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055"/>
      <c r="P85" s="1055"/>
      <c r="Q85" s="1055"/>
      <c r="R85" s="1055"/>
      <c r="S85" s="1055"/>
      <c r="T85" s="1055"/>
      <c r="U85" s="1055"/>
      <c r="V85" s="1055"/>
      <c r="W85" s="1055"/>
      <c r="X85" s="1055"/>
      <c r="Y85" s="1055"/>
    </row>
    <row r="86" spans="1:36"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055"/>
      <c r="P86" s="1055"/>
      <c r="Q86" s="1055"/>
      <c r="R86" s="1055"/>
      <c r="S86" s="1055"/>
      <c r="T86" s="1055"/>
      <c r="U86" s="1055"/>
      <c r="V86" s="1055"/>
      <c r="W86" s="1055"/>
      <c r="X86" s="1055"/>
      <c r="Y86" s="1055"/>
    </row>
    <row r="87" spans="1:36"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055"/>
      <c r="P87" s="1055"/>
      <c r="Q87" s="1055"/>
      <c r="R87" s="1055"/>
      <c r="S87" s="1055"/>
      <c r="T87" s="1055"/>
      <c r="U87" s="1055"/>
      <c r="V87" s="1055"/>
      <c r="W87" s="1055"/>
      <c r="X87" s="1055"/>
      <c r="Y87" s="1055"/>
    </row>
    <row r="88" spans="1:36"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055"/>
      <c r="P88" s="1055"/>
      <c r="Q88" s="1055"/>
      <c r="R88" s="1055"/>
      <c r="S88" s="1055"/>
      <c r="T88" s="1055"/>
      <c r="U88" s="1055"/>
      <c r="V88" s="1055"/>
      <c r="W88" s="1055"/>
      <c r="X88" s="1055"/>
      <c r="Y88" s="1055"/>
    </row>
    <row r="89" spans="1:36"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055"/>
      <c r="P89" s="1055"/>
      <c r="Q89" s="1055"/>
      <c r="R89" s="1055"/>
      <c r="S89" s="1055"/>
      <c r="T89" s="1055"/>
      <c r="U89" s="1055"/>
      <c r="V89" s="1055"/>
      <c r="W89" s="1055"/>
      <c r="X89" s="1055"/>
      <c r="Y89" s="1055"/>
    </row>
    <row r="90" spans="1:36"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055"/>
      <c r="P90" s="1055"/>
      <c r="Q90" s="1055"/>
      <c r="R90" s="1055"/>
      <c r="S90" s="1055"/>
      <c r="T90" s="1055"/>
      <c r="U90" s="1055"/>
      <c r="V90" s="1055"/>
      <c r="W90" s="1055"/>
      <c r="X90" s="1055"/>
      <c r="Y90" s="1055"/>
    </row>
    <row r="91" spans="1:36" s="171" customFormat="1">
      <c r="A91" s="1932"/>
    </row>
    <row r="92" spans="1:36" s="171" customFormat="1">
      <c r="A92" s="1932"/>
    </row>
    <row r="93" spans="1:36" s="171" customFormat="1">
      <c r="A93" s="1932"/>
    </row>
    <row r="94" spans="1:36" s="171" customFormat="1">
      <c r="A94" s="1932"/>
      <c r="D94" s="1055"/>
      <c r="E94" s="1055"/>
      <c r="F94" s="1055"/>
      <c r="G94" s="1055"/>
      <c r="H94" s="1055"/>
      <c r="I94" s="1055"/>
      <c r="J94" s="1055"/>
      <c r="K94" s="1055"/>
      <c r="L94" s="1055"/>
      <c r="M94" s="1055"/>
      <c r="N94" s="1055"/>
      <c r="AA94" s="1523"/>
    </row>
    <row r="95" spans="1:36">
      <c r="O95" s="1055"/>
      <c r="P95" s="1055"/>
      <c r="Q95" s="1055"/>
      <c r="R95" s="1055"/>
      <c r="S95" s="1055"/>
      <c r="T95" s="1055"/>
      <c r="U95" s="1055"/>
      <c r="V95" s="1055"/>
      <c r="W95" s="1055"/>
      <c r="X95" s="1055"/>
      <c r="Y95" s="1055"/>
    </row>
    <row r="96" spans="1:36">
      <c r="O96" s="1055"/>
      <c r="P96" s="1055"/>
      <c r="Q96" s="1055"/>
      <c r="R96" s="1055"/>
      <c r="S96" s="1055"/>
      <c r="T96" s="1055"/>
      <c r="U96" s="1055"/>
      <c r="V96" s="1055"/>
      <c r="W96" s="1055"/>
      <c r="X96" s="1055"/>
      <c r="Y96" s="1055"/>
    </row>
    <row r="97" spans="1:27">
      <c r="O97" s="1055"/>
      <c r="P97" s="1055"/>
      <c r="Q97" s="1055"/>
      <c r="R97" s="1055"/>
      <c r="S97" s="1055"/>
      <c r="T97" s="1055"/>
      <c r="U97" s="1055"/>
      <c r="V97" s="1055"/>
      <c r="W97" s="1055"/>
      <c r="X97" s="1055"/>
      <c r="Y97" s="1055"/>
    </row>
    <row r="98" spans="1:27">
      <c r="O98" s="1055"/>
      <c r="P98" s="1055"/>
      <c r="Q98" s="1055"/>
      <c r="R98" s="1055"/>
      <c r="S98" s="1055"/>
      <c r="T98" s="1055"/>
      <c r="U98" s="1055"/>
      <c r="V98" s="1055"/>
      <c r="W98" s="1055"/>
      <c r="X98" s="1055"/>
      <c r="Y98" s="1055"/>
    </row>
    <row r="99" spans="1:27" ht="21.75" customHeight="1">
      <c r="O99" s="1055"/>
      <c r="P99" s="1055"/>
      <c r="Q99" s="1055"/>
      <c r="R99" s="1055"/>
      <c r="S99" s="1055"/>
      <c r="T99" s="1055"/>
      <c r="U99" s="1055"/>
      <c r="V99" s="1055"/>
      <c r="W99" s="1055"/>
      <c r="X99" s="1055"/>
      <c r="Y99" s="1055"/>
    </row>
    <row r="100" spans="1:27">
      <c r="O100" s="1055"/>
      <c r="P100" s="1055"/>
      <c r="Q100" s="1055"/>
      <c r="R100" s="1055"/>
      <c r="S100" s="1055"/>
      <c r="T100" s="1055"/>
      <c r="U100" s="1055"/>
      <c r="V100" s="1055"/>
      <c r="W100" s="1055"/>
      <c r="X100" s="1055"/>
      <c r="Y100" s="1055"/>
    </row>
    <row r="101" spans="1:27">
      <c r="O101" s="1055"/>
      <c r="P101" s="1055"/>
      <c r="Q101" s="1055"/>
      <c r="R101" s="1055"/>
      <c r="S101" s="1055"/>
      <c r="T101" s="1055"/>
      <c r="U101" s="1055"/>
      <c r="V101" s="1055"/>
      <c r="W101" s="1055"/>
      <c r="X101" s="1055"/>
      <c r="Y101" s="1055"/>
    </row>
    <row r="102" spans="1:27">
      <c r="O102" s="1055"/>
      <c r="P102" s="1055"/>
      <c r="Q102" s="1055"/>
      <c r="R102" s="1055"/>
      <c r="S102" s="1055"/>
      <c r="T102" s="1055"/>
      <c r="U102" s="1055"/>
      <c r="V102" s="1055"/>
      <c r="W102" s="1055"/>
      <c r="X102" s="1055"/>
      <c r="Y102" s="1055"/>
    </row>
    <row r="104" spans="1:27">
      <c r="O104" s="1055"/>
      <c r="P104" s="1055"/>
      <c r="Q104" s="1055"/>
      <c r="R104" s="1055"/>
      <c r="S104" s="1055"/>
      <c r="T104" s="1055"/>
      <c r="U104" s="1055"/>
      <c r="V104" s="1055"/>
      <c r="W104" s="1055"/>
      <c r="X104" s="1055"/>
      <c r="Y104" s="1055"/>
    </row>
    <row r="105" spans="1:27">
      <c r="O105" s="1055"/>
      <c r="P105" s="1055"/>
      <c r="Q105" s="1055"/>
      <c r="R105" s="1055"/>
      <c r="S105" s="1055"/>
      <c r="T105" s="1055"/>
      <c r="U105" s="1055"/>
      <c r="V105" s="1055"/>
      <c r="W105" s="1055"/>
      <c r="X105" s="1055"/>
      <c r="Y105" s="1055"/>
    </row>
    <row r="106" spans="1:27">
      <c r="O106" s="1055"/>
      <c r="P106" s="1055"/>
      <c r="Q106" s="1055"/>
      <c r="R106" s="1055"/>
      <c r="S106" s="1055"/>
      <c r="T106" s="1055"/>
      <c r="U106" s="1055"/>
      <c r="V106" s="1055"/>
      <c r="W106" s="1055"/>
      <c r="X106" s="1055"/>
      <c r="Y106" s="1055"/>
    </row>
    <row r="107" spans="1:27">
      <c r="O107" s="1055"/>
      <c r="P107" s="1055"/>
      <c r="Q107" s="1055"/>
      <c r="R107" s="1055"/>
      <c r="S107" s="1055"/>
      <c r="T107" s="1055"/>
      <c r="U107" s="1055"/>
      <c r="V107" s="1055"/>
      <c r="W107" s="1055"/>
      <c r="X107" s="1055"/>
      <c r="Y107" s="1055"/>
    </row>
    <row r="108" spans="1:27">
      <c r="O108" s="1055"/>
      <c r="P108" s="1055"/>
      <c r="Q108" s="1055"/>
      <c r="R108" s="1055"/>
      <c r="S108" s="1055"/>
      <c r="T108" s="1055"/>
      <c r="U108" s="1055"/>
      <c r="V108" s="1055"/>
      <c r="W108" s="1055"/>
      <c r="X108" s="1055"/>
      <c r="Y108" s="1055"/>
    </row>
    <row r="109" spans="1:27">
      <c r="O109" s="1055"/>
      <c r="P109" s="1055"/>
      <c r="Q109" s="1055"/>
      <c r="R109" s="1055"/>
      <c r="S109" s="1055"/>
      <c r="T109" s="1055"/>
      <c r="U109" s="1055"/>
      <c r="V109" s="1055"/>
      <c r="W109" s="1055"/>
      <c r="X109" s="1055"/>
      <c r="Y109" s="1055"/>
    </row>
    <row r="111" spans="1:27" s="171" customFormat="1">
      <c r="A111" s="1932"/>
      <c r="D111" s="1055"/>
      <c r="E111" s="1055"/>
      <c r="F111" s="1055"/>
      <c r="G111" s="1055"/>
      <c r="H111" s="1055"/>
      <c r="I111" s="1055"/>
      <c r="J111" s="1055"/>
      <c r="K111" s="1055"/>
      <c r="L111" s="1055"/>
      <c r="M111" s="1055"/>
      <c r="N111" s="1055"/>
      <c r="AA111" s="1523"/>
    </row>
    <row r="112" spans="1:27">
      <c r="O112" s="1055"/>
      <c r="P112" s="1055"/>
      <c r="Q112" s="1055"/>
      <c r="R112" s="1055"/>
      <c r="S112" s="1055"/>
      <c r="T112" s="1055"/>
      <c r="U112" s="1055"/>
      <c r="V112" s="1055"/>
      <c r="W112" s="1055"/>
      <c r="X112" s="1055"/>
      <c r="Y112" s="1055"/>
    </row>
    <row r="113" spans="15:25">
      <c r="O113" s="1055"/>
      <c r="P113" s="1055"/>
      <c r="Q113" s="1055"/>
      <c r="R113" s="1055"/>
      <c r="S113" s="1055"/>
      <c r="T113" s="1055"/>
      <c r="U113" s="1055"/>
      <c r="V113" s="1055"/>
      <c r="W113" s="1055"/>
      <c r="X113" s="1055"/>
      <c r="Y113" s="1055"/>
    </row>
    <row r="114" spans="15:25">
      <c r="O114" s="1055"/>
      <c r="P114" s="1055"/>
      <c r="Q114" s="1055"/>
      <c r="R114" s="1055"/>
      <c r="S114" s="1055"/>
      <c r="T114" s="1055"/>
      <c r="U114" s="1055"/>
      <c r="V114" s="1055"/>
      <c r="W114" s="1055"/>
      <c r="X114" s="1055"/>
      <c r="Y114" s="1055"/>
    </row>
    <row r="115" spans="15:25">
      <c r="O115" s="1055"/>
      <c r="P115" s="1055"/>
      <c r="Q115" s="1055"/>
      <c r="R115" s="1055"/>
      <c r="S115" s="1055"/>
      <c r="T115" s="1055"/>
      <c r="U115" s="1055"/>
      <c r="V115" s="1055"/>
      <c r="W115" s="1055"/>
      <c r="X115" s="1055"/>
      <c r="Y115" s="1055"/>
    </row>
    <row r="116" spans="15:25" ht="21.75" customHeight="1">
      <c r="O116" s="1055"/>
      <c r="P116" s="1055"/>
      <c r="Q116" s="1055"/>
      <c r="R116" s="1055"/>
      <c r="S116" s="1055"/>
      <c r="T116" s="1055"/>
      <c r="U116" s="1055"/>
      <c r="V116" s="1055"/>
      <c r="W116" s="1055"/>
      <c r="X116" s="1055"/>
      <c r="Y116" s="1055"/>
    </row>
    <row r="117" spans="15:25">
      <c r="O117" s="1055"/>
      <c r="P117" s="1055"/>
      <c r="Q117" s="1055"/>
      <c r="R117" s="1055"/>
      <c r="S117" s="1055"/>
      <c r="T117" s="1055"/>
      <c r="U117" s="1055"/>
      <c r="V117" s="1055"/>
      <c r="W117" s="1055"/>
      <c r="X117" s="1055"/>
      <c r="Y117" s="1055"/>
    </row>
    <row r="118" spans="15:25">
      <c r="O118" s="1055"/>
      <c r="P118" s="1055"/>
      <c r="Q118" s="1055"/>
      <c r="R118" s="1055"/>
      <c r="S118" s="1055"/>
      <c r="T118" s="1055"/>
      <c r="U118" s="1055"/>
      <c r="V118" s="1055"/>
      <c r="W118" s="1055"/>
      <c r="X118" s="1055"/>
      <c r="Y118" s="1055"/>
    </row>
    <row r="119" spans="15:25">
      <c r="O119" s="1055"/>
      <c r="P119" s="1055"/>
      <c r="Q119" s="1055"/>
      <c r="R119" s="1055"/>
      <c r="S119" s="1055"/>
      <c r="T119" s="1055"/>
      <c r="U119" s="1055"/>
      <c r="V119" s="1055"/>
      <c r="W119" s="1055"/>
      <c r="X119" s="1055"/>
      <c r="Y119" s="1055"/>
    </row>
    <row r="121" spans="15:25">
      <c r="O121" s="1055"/>
      <c r="P121" s="1055"/>
      <c r="Q121" s="1055"/>
      <c r="R121" s="1055"/>
      <c r="S121" s="1055"/>
      <c r="T121" s="1055"/>
      <c r="U121" s="1055"/>
      <c r="V121" s="1055"/>
      <c r="W121" s="1055"/>
      <c r="X121" s="1055"/>
      <c r="Y121" s="1055"/>
    </row>
    <row r="122" spans="15:25">
      <c r="O122" s="1055"/>
      <c r="P122" s="1055"/>
      <c r="Q122" s="1055"/>
      <c r="R122" s="1055"/>
      <c r="S122" s="1055"/>
      <c r="T122" s="1055"/>
      <c r="U122" s="1055"/>
      <c r="V122" s="1055"/>
      <c r="W122" s="1055"/>
      <c r="X122" s="1055"/>
      <c r="Y122" s="1055"/>
    </row>
    <row r="123" spans="15:25">
      <c r="O123" s="1055"/>
      <c r="P123" s="1055"/>
      <c r="Q123" s="1055"/>
      <c r="R123" s="1055"/>
      <c r="S123" s="1055"/>
      <c r="T123" s="1055"/>
      <c r="U123" s="1055"/>
      <c r="V123" s="1055"/>
      <c r="W123" s="1055"/>
      <c r="X123" s="1055"/>
      <c r="Y123" s="1055"/>
    </row>
    <row r="124" spans="15:25">
      <c r="O124" s="1055"/>
      <c r="P124" s="1055"/>
      <c r="Q124" s="1055"/>
      <c r="R124" s="1055"/>
      <c r="S124" s="1055"/>
      <c r="T124" s="1055"/>
      <c r="U124" s="1055"/>
      <c r="V124" s="1055"/>
      <c r="W124" s="1055"/>
      <c r="X124" s="1055"/>
      <c r="Y124" s="1055"/>
    </row>
    <row r="125" spans="15:25"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</row>
    <row r="126" spans="15:25">
      <c r="O126" s="1055"/>
      <c r="P126" s="1055"/>
      <c r="Q126" s="1055"/>
      <c r="R126" s="1055"/>
      <c r="S126" s="1055"/>
      <c r="T126" s="1055"/>
      <c r="U126" s="1055"/>
      <c r="V126" s="1055"/>
      <c r="W126" s="1055"/>
      <c r="X126" s="1055"/>
      <c r="Y126" s="1055"/>
    </row>
  </sheetData>
  <mergeCells count="12">
    <mergeCell ref="AG81:AI81"/>
    <mergeCell ref="AF69:AI69"/>
    <mergeCell ref="AA68:AJ68"/>
    <mergeCell ref="AA1:AB1"/>
    <mergeCell ref="AC1:AE1"/>
    <mergeCell ref="AF1:AH1"/>
    <mergeCell ref="AI1:AK1"/>
    <mergeCell ref="D4:U4"/>
    <mergeCell ref="A1:U1"/>
    <mergeCell ref="I5:N5"/>
    <mergeCell ref="O5:T5"/>
    <mergeCell ref="AA81:AC81"/>
  </mergeCells>
  <printOptions horizontalCentered="1"/>
  <pageMargins left="0.7" right="0.7" top="0.5" bottom="0.5" header="0.3" footer="0.3"/>
  <pageSetup paperSize="9" scale="80" orientation="portrait" horizontalDpi="300" verticalDpi="300" r:id="rId1"/>
  <colBreaks count="1" manualBreakCount="1">
    <brk id="14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0000"/>
  </sheetPr>
  <dimension ref="A1:CC285"/>
  <sheetViews>
    <sheetView topLeftCell="AB19" zoomScale="90" zoomScaleNormal="90" workbookViewId="0">
      <selection activeCell="AL43" sqref="AL43"/>
    </sheetView>
  </sheetViews>
  <sheetFormatPr defaultColWidth="9.140625" defaultRowHeight="21.75"/>
  <cols>
    <col min="1" max="1" width="4.85546875" style="268" customWidth="1"/>
    <col min="2" max="2" width="16.85546875" style="268" customWidth="1"/>
    <col min="3" max="3" width="15.7109375" style="268" customWidth="1"/>
    <col min="4" max="4" width="12.7109375" style="268" customWidth="1"/>
    <col min="5" max="5" width="14.28515625" style="268" bestFit="1" customWidth="1"/>
    <col min="6" max="6" width="13.7109375" style="268" customWidth="1"/>
    <col min="7" max="7" width="13.85546875" style="268" customWidth="1"/>
    <col min="8" max="8" width="14.28515625" style="268" bestFit="1" customWidth="1"/>
    <col min="9" max="9" width="13.85546875" style="268" customWidth="1"/>
    <col min="10" max="10" width="10.28515625" style="268" bestFit="1" customWidth="1"/>
    <col min="11" max="11" width="12.7109375" style="268" customWidth="1"/>
    <col min="12" max="12" width="12" style="268" customWidth="1"/>
    <col min="13" max="14" width="10.7109375" style="268" customWidth="1"/>
    <col min="15" max="15" width="10.85546875" style="268" customWidth="1"/>
    <col min="16" max="16" width="10.7109375" style="268" customWidth="1"/>
    <col min="17" max="17" width="10.5703125" style="268" customWidth="1"/>
    <col min="18" max="18" width="10" style="268" bestFit="1" customWidth="1"/>
    <col min="19" max="19" width="8" style="268" bestFit="1" customWidth="1"/>
    <col min="20" max="20" width="10.140625" style="268" bestFit="1" customWidth="1"/>
    <col min="21" max="21" width="9.85546875" style="268" bestFit="1" customWidth="1"/>
    <col min="22" max="23" width="10.140625" style="268" bestFit="1" customWidth="1"/>
    <col min="24" max="24" width="9.7109375" style="268" customWidth="1"/>
    <col min="25" max="26" width="9.85546875" style="268" customWidth="1"/>
    <col min="27" max="27" width="10.140625" style="268" bestFit="1" customWidth="1"/>
    <col min="28" max="28" width="9.85546875" style="268" customWidth="1"/>
    <col min="29" max="29" width="10.140625" style="268" bestFit="1" customWidth="1"/>
    <col min="30" max="30" width="9.85546875" style="268" customWidth="1"/>
    <col min="31" max="31" width="9.140625" style="268"/>
    <col min="32" max="32" width="14" style="268" bestFit="1" customWidth="1"/>
    <col min="33" max="33" width="16.28515625" style="268" bestFit="1" customWidth="1"/>
    <col min="34" max="34" width="10" style="268" bestFit="1" customWidth="1"/>
    <col min="35" max="35" width="10.5703125" style="268" customWidth="1"/>
    <col min="36" max="36" width="3.42578125" style="268" bestFit="1" customWidth="1"/>
    <col min="37" max="37" width="40.7109375" style="268" bestFit="1" customWidth="1"/>
    <col min="38" max="40" width="10.5703125" style="268" bestFit="1" customWidth="1"/>
    <col min="41" max="43" width="9.7109375" style="268" customWidth="1"/>
    <col min="44" max="45" width="9.140625" style="268"/>
    <col min="46" max="47" width="11.7109375" style="268" customWidth="1"/>
    <col min="48" max="50" width="9.140625" style="268"/>
    <col min="51" max="51" width="9.7109375" style="268" customWidth="1"/>
    <col min="52" max="53" width="9.140625" style="268"/>
    <col min="54" max="54" width="11.85546875" style="268" customWidth="1"/>
    <col min="55" max="58" width="9.140625" style="268"/>
    <col min="59" max="60" width="9.85546875" style="268" customWidth="1"/>
    <col min="61" max="61" width="7.28515625" style="268" customWidth="1"/>
    <col min="62" max="62" width="6" style="268" bestFit="1" customWidth="1"/>
    <col min="63" max="68" width="9.140625" style="268"/>
    <col min="69" max="69" width="3.7109375" style="268" customWidth="1"/>
    <col min="70" max="70" width="7.42578125" style="268" bestFit="1" customWidth="1"/>
    <col min="71" max="71" width="8" style="268" bestFit="1" customWidth="1"/>
    <col min="72" max="72" width="9.28515625" style="520" customWidth="1"/>
    <col min="73" max="73" width="6.28515625" style="268" customWidth="1"/>
    <col min="74" max="74" width="5" style="268" customWidth="1"/>
    <col min="75" max="75" width="6.85546875" style="268" bestFit="1" customWidth="1"/>
    <col min="76" max="77" width="6.5703125" style="268" bestFit="1" customWidth="1"/>
    <col min="78" max="78" width="6.7109375" style="268" customWidth="1"/>
    <col min="79" max="16384" width="9.140625" style="268"/>
  </cols>
  <sheetData>
    <row r="1" spans="1:72" ht="24.75" thickBot="1">
      <c r="E1" s="1784">
        <f>'3.ต้นทุนวางท่อ'!H13+'3.ต้นทุนวางท่อ'!N13*แหล่งวัสดุ!N77</f>
        <v>291.43</v>
      </c>
      <c r="F1" s="1784">
        <f>+'3.ต้นทุนวางท่อ'!N44</f>
        <v>2082</v>
      </c>
      <c r="G1" s="1784">
        <f>'3.ต้นทุนวางท่อ'!N36</f>
        <v>2220</v>
      </c>
      <c r="H1" s="1711">
        <v>2</v>
      </c>
      <c r="I1" s="1711">
        <v>8</v>
      </c>
      <c r="J1" s="1711">
        <v>3</v>
      </c>
      <c r="K1" s="1711">
        <v>4</v>
      </c>
      <c r="L1" s="1711">
        <v>5</v>
      </c>
      <c r="O1" s="2912" t="s">
        <v>574</v>
      </c>
      <c r="P1" s="2913"/>
      <c r="Q1" s="2914"/>
      <c r="S1" s="2857" t="s">
        <v>575</v>
      </c>
      <c r="T1" s="2858"/>
      <c r="W1" s="2907" t="s">
        <v>375</v>
      </c>
      <c r="X1" s="2908"/>
      <c r="AA1" s="2857" t="s">
        <v>580</v>
      </c>
      <c r="AB1" s="2906"/>
      <c r="AC1" s="2858"/>
      <c r="AE1" s="2857" t="s">
        <v>576</v>
      </c>
      <c r="AF1" s="2906"/>
      <c r="AG1" s="2906"/>
      <c r="AH1" s="2858"/>
      <c r="AL1" s="1913" t="s">
        <v>1313</v>
      </c>
      <c r="AM1" s="1913" t="s">
        <v>1314</v>
      </c>
      <c r="AN1" s="1913" t="s">
        <v>1315</v>
      </c>
      <c r="AQ1" s="734">
        <v>1</v>
      </c>
      <c r="AR1" s="1003" t="s">
        <v>509</v>
      </c>
      <c r="AS1" s="722"/>
      <c r="AT1" s="722"/>
      <c r="AU1" s="723"/>
      <c r="AV1" s="1882">
        <f>+'S2'!BF12</f>
        <v>10.76</v>
      </c>
      <c r="AW1" s="1883">
        <v>2</v>
      </c>
      <c r="AY1" s="1887" t="s">
        <v>1895</v>
      </c>
    </row>
    <row r="2" spans="1:72" ht="21.75" customHeight="1" thickBot="1">
      <c r="A2" s="2888" t="s">
        <v>551</v>
      </c>
      <c r="B2" s="2889"/>
      <c r="C2" s="2889"/>
      <c r="D2" s="2890"/>
      <c r="E2" s="1712" t="s">
        <v>552</v>
      </c>
      <c r="F2" s="1713" t="s">
        <v>553</v>
      </c>
      <c r="G2" s="1713" t="s">
        <v>554</v>
      </c>
      <c r="H2" s="2928" t="s">
        <v>555</v>
      </c>
      <c r="I2" s="2928" t="s">
        <v>556</v>
      </c>
      <c r="J2" s="2928" t="s">
        <v>557</v>
      </c>
      <c r="K2" s="2928" t="s">
        <v>558</v>
      </c>
      <c r="L2" s="2928" t="s">
        <v>559</v>
      </c>
      <c r="M2" s="2928" t="s">
        <v>2076</v>
      </c>
      <c r="N2" s="2895" t="s">
        <v>28</v>
      </c>
      <c r="O2" s="1764">
        <v>1</v>
      </c>
      <c r="P2" s="739">
        <v>1</v>
      </c>
      <c r="Q2" s="1765" t="s">
        <v>241</v>
      </c>
      <c r="S2" s="1777">
        <v>1</v>
      </c>
      <c r="T2" s="1783">
        <v>20.5</v>
      </c>
      <c r="W2" s="1777">
        <v>1</v>
      </c>
      <c r="X2" s="1778">
        <v>2555</v>
      </c>
      <c r="AA2" s="1777">
        <v>1</v>
      </c>
      <c r="AB2" s="1801" t="s">
        <v>578</v>
      </c>
      <c r="AC2" s="1802"/>
      <c r="AE2" s="1815">
        <v>1</v>
      </c>
      <c r="AF2" s="733" t="s">
        <v>1858</v>
      </c>
      <c r="AG2" s="725"/>
      <c r="AH2" s="1797"/>
      <c r="AJ2" s="315">
        <v>1</v>
      </c>
      <c r="AK2" s="1078" t="s">
        <v>310</v>
      </c>
      <c r="AL2" s="1079">
        <v>11740</v>
      </c>
      <c r="AM2" s="1079"/>
      <c r="AN2" s="1079"/>
      <c r="AQ2" s="734">
        <v>2</v>
      </c>
      <c r="AR2" s="206" t="s">
        <v>510</v>
      </c>
      <c r="AS2" s="725"/>
      <c r="AT2" s="725"/>
      <c r="AU2" s="726"/>
      <c r="AV2" s="1882">
        <f>+'S2'!BF13</f>
        <v>14.13</v>
      </c>
      <c r="AW2" s="1884">
        <f>+VLOOKUP(AW1,AQ1:AV3,6)</f>
        <v>14.13</v>
      </c>
      <c r="AY2" s="2837" t="s">
        <v>219</v>
      </c>
      <c r="AZ2" s="2838"/>
      <c r="BA2" s="2838"/>
      <c r="BB2" s="2839"/>
      <c r="BD2" s="2837" t="s">
        <v>1700</v>
      </c>
      <c r="BE2" s="2839"/>
      <c r="BG2" s="2956" t="s">
        <v>1705</v>
      </c>
      <c r="BH2" s="2957"/>
      <c r="BI2" s="2958"/>
    </row>
    <row r="3" spans="1:72" ht="22.5" thickBot="1">
      <c r="A3" s="2891"/>
      <c r="B3" s="2892"/>
      <c r="C3" s="2892"/>
      <c r="D3" s="2893"/>
      <c r="E3" s="1714" t="s">
        <v>32</v>
      </c>
      <c r="F3" s="1715" t="s">
        <v>32</v>
      </c>
      <c r="G3" s="1715" t="s">
        <v>32</v>
      </c>
      <c r="H3" s="2929"/>
      <c r="I3" s="2929"/>
      <c r="J3" s="2929"/>
      <c r="K3" s="2929"/>
      <c r="L3" s="2929"/>
      <c r="M3" s="2929"/>
      <c r="N3" s="2897"/>
      <c r="O3" s="1766">
        <v>2</v>
      </c>
      <c r="P3" s="1640">
        <v>1</v>
      </c>
      <c r="Q3" s="1767" t="s">
        <v>242</v>
      </c>
      <c r="S3" s="1768">
        <v>2</v>
      </c>
      <c r="T3" s="1774">
        <f t="shared" ref="T3:T13" si="0">+T2+1</f>
        <v>21.5</v>
      </c>
      <c r="W3" s="1768">
        <v>2</v>
      </c>
      <c r="X3" s="1769">
        <v>2556</v>
      </c>
      <c r="AA3" s="1770">
        <v>2</v>
      </c>
      <c r="AB3" s="1803" t="s">
        <v>579</v>
      </c>
      <c r="AC3" s="1804"/>
      <c r="AE3" s="1816">
        <v>2</v>
      </c>
      <c r="AF3" s="724" t="s">
        <v>572</v>
      </c>
      <c r="AG3" s="725"/>
      <c r="AH3" s="1797"/>
      <c r="AI3" s="171"/>
      <c r="AQ3" s="734">
        <v>3</v>
      </c>
      <c r="AR3" s="206" t="s">
        <v>511</v>
      </c>
      <c r="AS3" s="725"/>
      <c r="AT3" s="725"/>
      <c r="AU3" s="726"/>
      <c r="AV3" s="730">
        <f>+'S2'!BF14</f>
        <v>11.12</v>
      </c>
      <c r="AW3" s="269"/>
      <c r="AY3" s="720">
        <v>1</v>
      </c>
      <c r="AZ3" s="2834" t="s">
        <v>1701</v>
      </c>
      <c r="BA3" s="2834"/>
      <c r="BB3" s="2834"/>
      <c r="BD3" s="718">
        <v>1</v>
      </c>
      <c r="BE3" s="758">
        <v>3</v>
      </c>
      <c r="BG3" s="1402">
        <v>1</v>
      </c>
      <c r="BH3" s="1888" t="s">
        <v>1706</v>
      </c>
      <c r="BI3" s="1889"/>
    </row>
    <row r="4" spans="1:72" ht="24.75" thickBot="1">
      <c r="A4" s="1720">
        <v>1</v>
      </c>
      <c r="B4" s="1721" t="s">
        <v>1770</v>
      </c>
      <c r="C4" s="1785"/>
      <c r="D4" s="1792"/>
      <c r="E4" s="1786">
        <f>+'NO DELETE'!H49</f>
        <v>1.363</v>
      </c>
      <c r="F4" s="775">
        <f>+'NO DELETE'!E49</f>
        <v>0.20300000000000001</v>
      </c>
      <c r="G4" s="779">
        <v>0.01</v>
      </c>
      <c r="H4" s="1737">
        <f>+'3.ต้นทุนวางท่อ'!H24+'NO DELETE'!N41</f>
        <v>861.69416666666666</v>
      </c>
      <c r="I4" s="1737">
        <f t="shared" ref="I4:I18" si="1">+E4*$E$1</f>
        <v>397.21908999999999</v>
      </c>
      <c r="J4" s="1737">
        <f t="shared" ref="J4:J18" si="2">+F4*$F$1</f>
        <v>422.64600000000002</v>
      </c>
      <c r="K4" s="1737">
        <f t="shared" ref="K4:K18" si="3">+G4*$G$1</f>
        <v>22.2</v>
      </c>
      <c r="L4" s="1737">
        <f>+'NO DELETE'!O41</f>
        <v>345</v>
      </c>
      <c r="M4" s="1737">
        <f>+ROUND(((C49+D49*2)+(0.3+0.3))*(C49+D49*2+0.3),3)</f>
        <v>1.4179999999999999</v>
      </c>
      <c r="N4" s="1738">
        <f t="shared" ref="N4:N18" si="4">IF(J4=0,0,ROUNDDOWN(SUM(H4:L4),-1))</f>
        <v>2040</v>
      </c>
      <c r="O4" s="1768">
        <v>3</v>
      </c>
      <c r="P4" s="718">
        <v>1</v>
      </c>
      <c r="Q4" s="1769" t="s">
        <v>243</v>
      </c>
      <c r="S4" s="1768">
        <v>3</v>
      </c>
      <c r="T4" s="1774">
        <f t="shared" si="0"/>
        <v>22.5</v>
      </c>
      <c r="W4" s="1768">
        <v>3</v>
      </c>
      <c r="X4" s="1769">
        <v>2557</v>
      </c>
      <c r="AA4" s="1775">
        <v>2</v>
      </c>
      <c r="AB4" s="2904" t="str">
        <f>+VLOOKUP(AA4,AA2:AC3,2)</f>
        <v>ไม่มี WIDENING</v>
      </c>
      <c r="AC4" s="2905"/>
      <c r="AE4" s="1816">
        <v>3</v>
      </c>
      <c r="AF4" s="724" t="s">
        <v>573</v>
      </c>
      <c r="AG4" s="725"/>
      <c r="AH4" s="1817"/>
      <c r="AI4"/>
      <c r="AJ4" s="1069">
        <v>1</v>
      </c>
      <c r="AK4" s="1080" t="s">
        <v>1214</v>
      </c>
      <c r="AL4" s="1065">
        <v>4330</v>
      </c>
      <c r="AM4" s="1065">
        <v>5570</v>
      </c>
      <c r="AN4" s="1065">
        <v>7110</v>
      </c>
      <c r="AP4" s="269"/>
      <c r="AX4" s="269"/>
      <c r="AY4" s="732">
        <v>2</v>
      </c>
      <c r="AZ4" s="2834" t="s">
        <v>1702</v>
      </c>
      <c r="BA4" s="2834"/>
      <c r="BB4" s="2834"/>
      <c r="BD4" s="718">
        <v>2</v>
      </c>
      <c r="BE4" s="758">
        <v>3.5</v>
      </c>
      <c r="BF4" s="171"/>
      <c r="BG4" s="743">
        <v>2</v>
      </c>
      <c r="BH4" s="1890" t="s">
        <v>1695</v>
      </c>
      <c r="BI4" s="1891"/>
    </row>
    <row r="5" spans="1:72" s="269" customFormat="1" ht="24.75" thickBot="1">
      <c r="A5" s="1722">
        <f t="shared" ref="A5:A18" si="5">+A4+1</f>
        <v>2</v>
      </c>
      <c r="B5" s="1787" t="s">
        <v>1771</v>
      </c>
      <c r="C5" s="1788"/>
      <c r="D5" s="1791"/>
      <c r="E5" s="1719">
        <f>+'NO DELETE'!H50</f>
        <v>1.748</v>
      </c>
      <c r="F5" s="761">
        <f>+'NO DELETE'!E50</f>
        <v>0.23899999999999999</v>
      </c>
      <c r="G5" s="718">
        <v>0.02</v>
      </c>
      <c r="H5" s="1717">
        <f>+'3.ต้นทุนวางท่อ'!H25+'NO DELETE'!N42</f>
        <v>1802.2588888888888</v>
      </c>
      <c r="I5" s="1717">
        <f t="shared" si="1"/>
        <v>509.41964000000002</v>
      </c>
      <c r="J5" s="1717">
        <f t="shared" si="2"/>
        <v>497.59799999999996</v>
      </c>
      <c r="K5" s="1717">
        <f t="shared" si="3"/>
        <v>44.4</v>
      </c>
      <c r="L5" s="1717">
        <f>'NO DELETE'!O42</f>
        <v>421</v>
      </c>
      <c r="M5" s="1717">
        <f t="shared" ref="M5:M8" si="6">+ROUND(((C50+D50*2)+(0.3+0.3))*(C50+D50*2+0.3),3)</f>
        <v>2.0510000000000002</v>
      </c>
      <c r="N5" s="1739">
        <f t="shared" si="4"/>
        <v>3270</v>
      </c>
      <c r="O5" s="1768">
        <v>4</v>
      </c>
      <c r="P5" s="718">
        <v>2</v>
      </c>
      <c r="Q5" s="1769" t="s">
        <v>244</v>
      </c>
      <c r="S5" s="1768">
        <v>4</v>
      </c>
      <c r="T5" s="1774">
        <f t="shared" si="0"/>
        <v>23.5</v>
      </c>
      <c r="W5" s="1768">
        <v>4</v>
      </c>
      <c r="X5" s="1769">
        <v>2558</v>
      </c>
      <c r="AE5" s="1818">
        <v>4</v>
      </c>
      <c r="AF5" s="733" t="s">
        <v>577</v>
      </c>
      <c r="AG5" s="725"/>
      <c r="AH5" s="1819"/>
      <c r="AI5"/>
      <c r="AJ5" s="744">
        <f t="shared" ref="AJ5:AJ19" si="7">+AJ4+1</f>
        <v>2</v>
      </c>
      <c r="AK5" s="1063" t="s">
        <v>1833</v>
      </c>
      <c r="AL5" s="1066">
        <v>5570</v>
      </c>
      <c r="AM5" s="1067">
        <v>7110</v>
      </c>
      <c r="AN5" s="1067">
        <v>11180</v>
      </c>
      <c r="AQ5" s="180"/>
      <c r="AR5" s="1914" t="s">
        <v>1231</v>
      </c>
      <c r="AS5" s="1915"/>
      <c r="AT5" s="1916" t="s">
        <v>660</v>
      </c>
      <c r="AU5" s="2951">
        <f>+VLOOKUP(AV6,AQ6:AW9,7)</f>
        <v>3740</v>
      </c>
      <c r="AV5" s="2952"/>
      <c r="AY5" s="732">
        <v>3</v>
      </c>
      <c r="AZ5" s="2834" t="s">
        <v>1703</v>
      </c>
      <c r="BA5" s="2834"/>
      <c r="BB5" s="2834"/>
      <c r="BD5" s="718">
        <v>3</v>
      </c>
      <c r="BE5" s="758">
        <v>4</v>
      </c>
      <c r="BF5" s="171"/>
      <c r="BG5" s="747"/>
      <c r="BH5" s="1892"/>
      <c r="BI5" s="1893"/>
    </row>
    <row r="6" spans="1:72" s="269" customFormat="1" ht="24.75" thickBot="1">
      <c r="A6" s="1722">
        <f t="shared" si="5"/>
        <v>3</v>
      </c>
      <c r="B6" s="1787" t="s">
        <v>1772</v>
      </c>
      <c r="C6" s="1788"/>
      <c r="D6" s="1791"/>
      <c r="E6" s="1719">
        <f>'NO DELETE'!H51</f>
        <v>2.1440000000000001</v>
      </c>
      <c r="F6" s="761">
        <f>'NO DELETE'!E51</f>
        <v>0.27300000000000002</v>
      </c>
      <c r="G6" s="718">
        <v>0.02</v>
      </c>
      <c r="H6" s="1717">
        <f>+'3.ต้นทุนวางท่อ'!H26+'NO DELETE'!N43</f>
        <v>2508.0659999999998</v>
      </c>
      <c r="I6" s="1717">
        <f t="shared" si="1"/>
        <v>624.82592</v>
      </c>
      <c r="J6" s="1717">
        <f t="shared" si="2"/>
        <v>568.38600000000008</v>
      </c>
      <c r="K6" s="1717">
        <f t="shared" si="3"/>
        <v>44.4</v>
      </c>
      <c r="L6" s="1717">
        <f>'NO DELETE'!O43</f>
        <v>510</v>
      </c>
      <c r="M6" s="1717">
        <f t="shared" si="6"/>
        <v>2.766</v>
      </c>
      <c r="N6" s="1739">
        <f t="shared" si="4"/>
        <v>4250</v>
      </c>
      <c r="O6" s="1770">
        <v>5</v>
      </c>
      <c r="P6" s="769">
        <v>2</v>
      </c>
      <c r="Q6" s="1771" t="s">
        <v>245</v>
      </c>
      <c r="R6" s="535"/>
      <c r="S6" s="1768">
        <v>5</v>
      </c>
      <c r="T6" s="1774">
        <f t="shared" si="0"/>
        <v>24.5</v>
      </c>
      <c r="W6" s="1768">
        <v>5</v>
      </c>
      <c r="X6" s="1769">
        <v>2559</v>
      </c>
      <c r="AA6" s="2857" t="s">
        <v>633</v>
      </c>
      <c r="AB6" s="2858"/>
      <c r="AE6" s="1820">
        <v>5</v>
      </c>
      <c r="AF6" s="719" t="s">
        <v>1295</v>
      </c>
      <c r="AG6" s="735"/>
      <c r="AH6" s="1821"/>
      <c r="AI6"/>
      <c r="AJ6" s="744">
        <f t="shared" si="7"/>
        <v>3</v>
      </c>
      <c r="AK6" s="1063" t="s">
        <v>1215</v>
      </c>
      <c r="AL6" s="1066">
        <v>2580</v>
      </c>
      <c r="AM6" s="1067">
        <v>2820</v>
      </c>
      <c r="AN6" s="1067">
        <v>3140</v>
      </c>
      <c r="AQ6" s="1850">
        <v>1</v>
      </c>
      <c r="AR6" s="1853" t="s">
        <v>1860</v>
      </c>
      <c r="AS6" s="1854"/>
      <c r="AT6" s="1854"/>
      <c r="AU6" s="1855"/>
      <c r="AV6" s="1850">
        <v>1</v>
      </c>
      <c r="AW6" s="1869">
        <v>3740</v>
      </c>
      <c r="AY6" s="718">
        <v>4</v>
      </c>
      <c r="AZ6" s="2834" t="s">
        <v>1704</v>
      </c>
      <c r="BA6" s="2834"/>
      <c r="BB6" s="2834"/>
      <c r="BD6" s="718">
        <v>4</v>
      </c>
      <c r="BE6" s="758">
        <v>4.5</v>
      </c>
      <c r="BF6" s="171"/>
      <c r="BG6" s="1363">
        <v>2</v>
      </c>
      <c r="BH6" s="1894" t="str">
        <f>+VLOOKUP(BG6,BG3:BH4,2)</f>
        <v>Wire Mesh</v>
      </c>
      <c r="BI6" s="1895"/>
    </row>
    <row r="7" spans="1:72" s="269" customFormat="1" ht="24.75" thickBot="1">
      <c r="A7" s="1722">
        <f t="shared" si="5"/>
        <v>4</v>
      </c>
      <c r="B7" s="1787" t="s">
        <v>1773</v>
      </c>
      <c r="C7" s="1788"/>
      <c r="D7" s="1791"/>
      <c r="E7" s="1719">
        <f>'NO DELETE'!H52</f>
        <v>2.5670000000000002</v>
      </c>
      <c r="F7" s="761">
        <f>'NO DELETE'!E52</f>
        <v>0.308</v>
      </c>
      <c r="G7" s="718">
        <v>0.02</v>
      </c>
      <c r="H7" s="1717">
        <f>+'3.ต้นทุนวางท่อ'!H27+'NO DELETE'!N44</f>
        <v>3585.0825</v>
      </c>
      <c r="I7" s="1717">
        <f t="shared" si="1"/>
        <v>748.10081000000002</v>
      </c>
      <c r="J7" s="1717">
        <f t="shared" si="2"/>
        <v>641.25599999999997</v>
      </c>
      <c r="K7" s="1717">
        <f t="shared" si="3"/>
        <v>44.4</v>
      </c>
      <c r="L7" s="1717">
        <f>'NO DELETE'!O44</f>
        <v>575</v>
      </c>
      <c r="M7" s="1717">
        <f t="shared" si="6"/>
        <v>3.5880000000000001</v>
      </c>
      <c r="N7" s="1739">
        <f t="shared" si="4"/>
        <v>5590</v>
      </c>
      <c r="P7" s="1772">
        <v>3</v>
      </c>
      <c r="Q7" s="1773" t="str">
        <f>+VLOOKUP(P7,O2:Q6,3)</f>
        <v>ปัตตานี</v>
      </c>
      <c r="R7" s="535"/>
      <c r="S7" s="1768">
        <v>6</v>
      </c>
      <c r="T7" s="1774">
        <f t="shared" si="0"/>
        <v>25.5</v>
      </c>
      <c r="W7" s="1768">
        <v>6</v>
      </c>
      <c r="X7" s="1769">
        <v>2560</v>
      </c>
      <c r="AA7" s="1777">
        <v>1</v>
      </c>
      <c r="AB7" s="1778">
        <v>3</v>
      </c>
      <c r="AE7" s="1820">
        <v>6</v>
      </c>
      <c r="AF7" s="719" t="s">
        <v>1296</v>
      </c>
      <c r="AG7" s="738"/>
      <c r="AH7" s="1822"/>
      <c r="AI7"/>
      <c r="AJ7" s="744">
        <f t="shared" si="7"/>
        <v>4</v>
      </c>
      <c r="AK7" s="1063" t="s">
        <v>1834</v>
      </c>
      <c r="AL7" s="1066">
        <v>2820</v>
      </c>
      <c r="AM7" s="1067">
        <v>3140</v>
      </c>
      <c r="AN7" s="1067">
        <v>3930</v>
      </c>
      <c r="AQ7" s="1851">
        <v>2</v>
      </c>
      <c r="AR7" s="1856" t="s">
        <v>1861</v>
      </c>
      <c r="AS7" s="1135"/>
      <c r="AT7" s="1135"/>
      <c r="AU7" s="1857"/>
      <c r="AV7" s="1861"/>
      <c r="AW7" s="1870">
        <v>4270</v>
      </c>
      <c r="AY7" s="727">
        <v>3</v>
      </c>
      <c r="AZ7" s="2835" t="str">
        <f>+VLOOKUP(AY7,AY3:AZ6,2)</f>
        <v>ความหนาผิวทาง 0.20 ม.</v>
      </c>
      <c r="BA7" s="2835"/>
      <c r="BB7" s="2835"/>
      <c r="BD7" s="718"/>
      <c r="BE7" s="758"/>
      <c r="BF7" s="171"/>
    </row>
    <row r="8" spans="1:72" s="269" customFormat="1" ht="24.75" thickBot="1">
      <c r="A8" s="1722">
        <f t="shared" si="5"/>
        <v>5</v>
      </c>
      <c r="B8" s="1787" t="s">
        <v>1774</v>
      </c>
      <c r="C8" s="1788"/>
      <c r="D8" s="1791"/>
      <c r="E8" s="1719">
        <f>'NO DELETE'!H53</f>
        <v>3.2610000000000001</v>
      </c>
      <c r="F8" s="761">
        <f>'NO DELETE'!E53</f>
        <v>0.36</v>
      </c>
      <c r="G8" s="718">
        <v>0.03</v>
      </c>
      <c r="H8" s="1717">
        <f>+'3.ต้นทุนวางท่อ'!H28+'NO DELETE'!N45</f>
        <v>4696.1319999999996</v>
      </c>
      <c r="I8" s="1717">
        <f t="shared" si="1"/>
        <v>950.35323000000005</v>
      </c>
      <c r="J8" s="1717">
        <f t="shared" si="2"/>
        <v>749.52</v>
      </c>
      <c r="K8" s="1717">
        <f t="shared" si="3"/>
        <v>66.599999999999994</v>
      </c>
      <c r="L8" s="1717">
        <f>'NO DELETE'!O45</f>
        <v>635</v>
      </c>
      <c r="M8" s="1717">
        <f t="shared" si="6"/>
        <v>5.04</v>
      </c>
      <c r="N8" s="1739">
        <f t="shared" si="4"/>
        <v>7090</v>
      </c>
      <c r="P8" s="531"/>
      <c r="R8" s="535"/>
      <c r="S8" s="1768">
        <v>7</v>
      </c>
      <c r="T8" s="1774">
        <f t="shared" si="0"/>
        <v>26.5</v>
      </c>
      <c r="W8" s="1770">
        <v>7</v>
      </c>
      <c r="X8" s="1771">
        <v>2651</v>
      </c>
      <c r="AA8" s="1768">
        <v>2</v>
      </c>
      <c r="AB8" s="1769">
        <v>4</v>
      </c>
      <c r="AE8" s="1818">
        <v>7</v>
      </c>
      <c r="AF8" s="737" t="s">
        <v>1955</v>
      </c>
      <c r="AG8" s="738"/>
      <c r="AH8" s="1822"/>
      <c r="AI8"/>
      <c r="AJ8" s="744">
        <f t="shared" si="7"/>
        <v>5</v>
      </c>
      <c r="AK8" s="1063" t="s">
        <v>1216</v>
      </c>
      <c r="AL8" s="1066">
        <v>2940</v>
      </c>
      <c r="AM8" s="1067">
        <v>3400</v>
      </c>
      <c r="AN8" s="1067">
        <v>3990</v>
      </c>
      <c r="AQ8" s="1851">
        <v>3</v>
      </c>
      <c r="AR8" s="1856" t="s">
        <v>1862</v>
      </c>
      <c r="AS8" s="1135"/>
      <c r="AT8" s="1135"/>
      <c r="AU8" s="1857"/>
      <c r="AV8" s="1861"/>
      <c r="AW8" s="1870">
        <v>4670</v>
      </c>
      <c r="AY8" s="740"/>
      <c r="AZ8" s="739">
        <f>+IF(AY7=1,0.15,IF(AY7=2,0.18,IF(AY7=3,0.2,0.23)))</f>
        <v>0.2</v>
      </c>
      <c r="BA8" s="2836"/>
      <c r="BB8" s="2836"/>
      <c r="BD8" s="727">
        <v>1</v>
      </c>
      <c r="BE8" s="741">
        <f>+VLOOKUP(BD8,BD3:BE8,2)</f>
        <v>3</v>
      </c>
      <c r="BF8" s="171"/>
    </row>
    <row r="9" spans="1:72" s="269" customFormat="1" ht="28.5" thickBot="1">
      <c r="A9" s="1722">
        <f t="shared" si="5"/>
        <v>6</v>
      </c>
      <c r="B9" s="1787" t="s">
        <v>1775</v>
      </c>
      <c r="C9" s="1788"/>
      <c r="D9" s="1791"/>
      <c r="E9" s="1718">
        <f>'NO DELETE'!I49</f>
        <v>2.702</v>
      </c>
      <c r="F9" s="758">
        <f>'NO DELETE'!F49</f>
        <v>0.36</v>
      </c>
      <c r="G9" s="761">
        <f>G4*2</f>
        <v>0.02</v>
      </c>
      <c r="H9" s="1717">
        <f>$H$4*2</f>
        <v>1723.3883333333333</v>
      </c>
      <c r="I9" s="1717">
        <f t="shared" si="1"/>
        <v>787.44385999999997</v>
      </c>
      <c r="J9" s="1717">
        <f t="shared" si="2"/>
        <v>749.52</v>
      </c>
      <c r="K9" s="1717">
        <f t="shared" si="3"/>
        <v>44.4</v>
      </c>
      <c r="L9" s="1717">
        <f>L4*2</f>
        <v>690</v>
      </c>
      <c r="M9" s="1717">
        <f>+ROUND(((C49*2+D49*4+C49/2)+(0.3+0.3))*(C49+D49*2+0.3),3)</f>
        <v>2.52</v>
      </c>
      <c r="N9" s="1739">
        <f t="shared" si="4"/>
        <v>3990</v>
      </c>
      <c r="P9" s="2924" t="s">
        <v>1205</v>
      </c>
      <c r="Q9" s="2925"/>
      <c r="S9" s="1768">
        <v>8</v>
      </c>
      <c r="T9" s="1774">
        <f t="shared" si="0"/>
        <v>27.5</v>
      </c>
      <c r="W9" s="1779">
        <v>5</v>
      </c>
      <c r="X9" s="1780">
        <f>+VLOOKUP(W9,W2:X8,2)</f>
        <v>2559</v>
      </c>
      <c r="AA9" s="1768">
        <v>3</v>
      </c>
      <c r="AB9" s="1769">
        <f>+AB8+1</f>
        <v>5</v>
      </c>
      <c r="AE9" s="1823">
        <v>8</v>
      </c>
      <c r="AF9" s="737" t="s">
        <v>2018</v>
      </c>
      <c r="AG9" s="1211"/>
      <c r="AH9" s="1269"/>
      <c r="AI9"/>
      <c r="AJ9" s="744">
        <f t="shared" si="7"/>
        <v>6</v>
      </c>
      <c r="AK9" s="1063" t="s">
        <v>1836</v>
      </c>
      <c r="AL9" s="1066">
        <v>2440</v>
      </c>
      <c r="AM9" s="1067">
        <v>2580</v>
      </c>
      <c r="AN9" s="1067">
        <v>2940</v>
      </c>
      <c r="AQ9" s="1852">
        <v>4</v>
      </c>
      <c r="AR9" s="1858" t="s">
        <v>1863</v>
      </c>
      <c r="AS9" s="1859"/>
      <c r="AT9" s="1859"/>
      <c r="AU9" s="1860"/>
      <c r="AV9" s="1862"/>
      <c r="AW9" s="1871">
        <v>5730</v>
      </c>
      <c r="BD9" s="171"/>
      <c r="BE9" s="171"/>
      <c r="BF9" s="171"/>
      <c r="BT9" s="537"/>
    </row>
    <row r="10" spans="1:72" s="269" customFormat="1" ht="28.5" thickBot="1">
      <c r="A10" s="1722">
        <f t="shared" si="5"/>
        <v>7</v>
      </c>
      <c r="B10" s="1787" t="s">
        <v>1776</v>
      </c>
      <c r="C10" s="1788"/>
      <c r="D10" s="1791"/>
      <c r="E10" s="1719">
        <f>'NO DELETE'!I50</f>
        <v>3.8260000000000001</v>
      </c>
      <c r="F10" s="761">
        <f>'NO DELETE'!F50</f>
        <v>0.44700000000000001</v>
      </c>
      <c r="G10" s="718">
        <f>G5*2</f>
        <v>0.04</v>
      </c>
      <c r="H10" s="1717">
        <f>$H$5*2</f>
        <v>3604.5177777777776</v>
      </c>
      <c r="I10" s="1717">
        <f t="shared" si="1"/>
        <v>1115.01118</v>
      </c>
      <c r="J10" s="1717">
        <f t="shared" si="2"/>
        <v>930.654</v>
      </c>
      <c r="K10" s="1717">
        <f t="shared" si="3"/>
        <v>88.8</v>
      </c>
      <c r="L10" s="1717">
        <f>$L$5*2</f>
        <v>842</v>
      </c>
      <c r="M10" s="1717">
        <f t="shared" ref="M10:M13" si="8">+ROUND(((C50*2+D50*4+C50/2)+(0.3+0.3))*(C50+D50*2+0.3),3)</f>
        <v>3.8439999999999999</v>
      </c>
      <c r="N10" s="1739">
        <f t="shared" si="4"/>
        <v>6580</v>
      </c>
      <c r="P10" s="2902">
        <v>20</v>
      </c>
      <c r="Q10" s="2903"/>
      <c r="S10" s="1768">
        <v>9</v>
      </c>
      <c r="T10" s="1774">
        <f t="shared" si="0"/>
        <v>28.5</v>
      </c>
      <c r="U10" s="270"/>
      <c r="V10" s="270"/>
      <c r="W10" s="1781">
        <v>4</v>
      </c>
      <c r="X10" s="1782">
        <f>+VLOOKUP(W10,W2:X8,2)</f>
        <v>2558</v>
      </c>
      <c r="AA10" s="1768">
        <v>4</v>
      </c>
      <c r="AB10" s="1769">
        <f>+AB9+1</f>
        <v>6</v>
      </c>
      <c r="AE10" s="1775">
        <v>3</v>
      </c>
      <c r="AF10" s="1825" t="str">
        <f>+VLOOKUP(AE10,AE2:AF9,2)</f>
        <v>บำรุงพิเศษ</v>
      </c>
      <c r="AG10" s="1826"/>
      <c r="AH10" s="1827"/>
      <c r="AI10"/>
      <c r="AJ10" s="744">
        <f t="shared" si="7"/>
        <v>7</v>
      </c>
      <c r="AK10" s="1063" t="s">
        <v>1837</v>
      </c>
      <c r="AL10" s="1066">
        <v>2320</v>
      </c>
      <c r="AM10" s="1067">
        <v>2440</v>
      </c>
      <c r="AN10" s="1067">
        <v>2580</v>
      </c>
      <c r="AQ10" s="803"/>
      <c r="AR10" s="803"/>
      <c r="AS10" s="803"/>
      <c r="AT10" s="803"/>
      <c r="AU10" s="803"/>
      <c r="AV10" s="803"/>
      <c r="AW10" s="718" t="s">
        <v>660</v>
      </c>
      <c r="AY10" s="2840" t="s">
        <v>1689</v>
      </c>
      <c r="AZ10" s="2840"/>
      <c r="BA10" s="2840"/>
      <c r="BB10" s="2840"/>
      <c r="BD10" s="1905"/>
      <c r="BE10" s="2841" t="s">
        <v>1690</v>
      </c>
      <c r="BF10" s="1906" t="s">
        <v>1689</v>
      </c>
      <c r="BT10" s="537"/>
    </row>
    <row r="11" spans="1:72" s="269" customFormat="1" ht="24.75" thickBot="1">
      <c r="A11" s="1722">
        <f t="shared" si="5"/>
        <v>8</v>
      </c>
      <c r="B11" s="1787" t="s">
        <v>1777</v>
      </c>
      <c r="C11" s="1788"/>
      <c r="D11" s="1791"/>
      <c r="E11" s="1719">
        <f>'NO DELETE'!I51</f>
        <v>5.085</v>
      </c>
      <c r="F11" s="761">
        <f>'NO DELETE'!F51</f>
        <v>0.53100000000000003</v>
      </c>
      <c r="G11" s="718">
        <f>G6*2</f>
        <v>0.04</v>
      </c>
      <c r="H11" s="1717">
        <f>$H$6*2</f>
        <v>5016.1319999999996</v>
      </c>
      <c r="I11" s="1717">
        <f t="shared" si="1"/>
        <v>1481.92155</v>
      </c>
      <c r="J11" s="1717">
        <f t="shared" si="2"/>
        <v>1105.5420000000001</v>
      </c>
      <c r="K11" s="1717">
        <f t="shared" si="3"/>
        <v>88.8</v>
      </c>
      <c r="L11" s="1717">
        <f>$L$6*2</f>
        <v>1020</v>
      </c>
      <c r="M11" s="1717">
        <f t="shared" si="8"/>
        <v>5.3810000000000002</v>
      </c>
      <c r="N11" s="1739">
        <f t="shared" si="4"/>
        <v>8710</v>
      </c>
      <c r="S11" s="1768">
        <v>10</v>
      </c>
      <c r="T11" s="1774">
        <f t="shared" si="0"/>
        <v>29.5</v>
      </c>
      <c r="U11" s="270"/>
      <c r="V11" s="270"/>
      <c r="AA11" s="1768">
        <v>5</v>
      </c>
      <c r="AB11" s="1769">
        <f>+AB10+1</f>
        <v>7</v>
      </c>
      <c r="AI11"/>
      <c r="AJ11" s="744">
        <f t="shared" si="7"/>
        <v>8</v>
      </c>
      <c r="AK11" s="1595" t="s">
        <v>1217</v>
      </c>
      <c r="AL11" s="1596">
        <v>3170</v>
      </c>
      <c r="AM11" s="1597">
        <v>3760</v>
      </c>
      <c r="AN11" s="1597">
        <v>4490</v>
      </c>
      <c r="AQ11" s="1850">
        <v>1</v>
      </c>
      <c r="AR11" s="1863" t="s">
        <v>1232</v>
      </c>
      <c r="AS11" s="1854"/>
      <c r="AT11" s="1854"/>
      <c r="AU11" s="1854"/>
      <c r="AV11" s="1886">
        <v>2</v>
      </c>
      <c r="AW11" s="1885">
        <f t="shared" ref="AW11:AW17" si="9">+IF($AQ$21=1,AS19,AT19)</f>
        <v>10320</v>
      </c>
      <c r="AY11" s="1903">
        <v>3</v>
      </c>
      <c r="AZ11" s="1904">
        <v>3.5</v>
      </c>
      <c r="BA11" s="1904">
        <v>4</v>
      </c>
      <c r="BB11" s="1904">
        <v>4.5</v>
      </c>
      <c r="BD11" s="1907"/>
      <c r="BE11" s="2842"/>
      <c r="BF11" s="1904">
        <f>+IF('NO DELETE'!$AY$7=1,'NO DELETE'!AY11,IF('NO DELETE'!$AY$7=2,'NO DELETE'!AZ11,IF('NO DELETE'!$AY$7=3,'NO DELETE'!BA11,'NO DELETE'!BB11)))</f>
        <v>4</v>
      </c>
      <c r="BT11" s="537"/>
    </row>
    <row r="12" spans="1:72" s="269" customFormat="1" ht="24.75" thickBot="1">
      <c r="A12" s="1722">
        <f t="shared" si="5"/>
        <v>9</v>
      </c>
      <c r="B12" s="1787" t="s">
        <v>1778</v>
      </c>
      <c r="C12" s="1788"/>
      <c r="D12" s="1791"/>
      <c r="E12" s="1719">
        <f>'NO DELETE'!I52</f>
        <v>6.5129999999999999</v>
      </c>
      <c r="F12" s="761">
        <f>'NO DELETE'!F52</f>
        <v>0.61499999999999999</v>
      </c>
      <c r="G12" s="718">
        <f>$G$7*2</f>
        <v>0.04</v>
      </c>
      <c r="H12" s="1717">
        <f>$H$7*2</f>
        <v>7170.165</v>
      </c>
      <c r="I12" s="1717">
        <f t="shared" si="1"/>
        <v>1898.08359</v>
      </c>
      <c r="J12" s="1717">
        <f t="shared" si="2"/>
        <v>1280.43</v>
      </c>
      <c r="K12" s="1717">
        <f t="shared" si="3"/>
        <v>88.8</v>
      </c>
      <c r="L12" s="1717">
        <f>$L$7*2</f>
        <v>1150</v>
      </c>
      <c r="M12" s="1717">
        <f t="shared" si="8"/>
        <v>7.1749999999999998</v>
      </c>
      <c r="N12" s="1739">
        <f t="shared" si="4"/>
        <v>11580</v>
      </c>
      <c r="S12" s="1768">
        <v>11</v>
      </c>
      <c r="T12" s="1774">
        <f t="shared" si="0"/>
        <v>30.5</v>
      </c>
      <c r="V12" s="270"/>
      <c r="AA12" s="1770">
        <v>6</v>
      </c>
      <c r="AB12" s="1771">
        <f>+AB11+1</f>
        <v>8</v>
      </c>
      <c r="AE12" s="2909" t="s">
        <v>1877</v>
      </c>
      <c r="AF12" s="2910"/>
      <c r="AG12" s="2910"/>
      <c r="AH12" s="2911"/>
      <c r="AI12"/>
      <c r="AJ12" s="744">
        <f t="shared" si="7"/>
        <v>9</v>
      </c>
      <c r="AK12" s="1595" t="s">
        <v>1218</v>
      </c>
      <c r="AL12" s="1596">
        <v>4330</v>
      </c>
      <c r="AM12" s="1597">
        <v>5570</v>
      </c>
      <c r="AN12" s="1597">
        <v>7110</v>
      </c>
      <c r="AQ12" s="1851">
        <v>2</v>
      </c>
      <c r="AR12" s="1864" t="s">
        <v>1290</v>
      </c>
      <c r="AS12" s="1135"/>
      <c r="AT12" s="1135"/>
      <c r="AU12" s="1135"/>
      <c r="AV12" s="1857"/>
      <c r="AW12" s="1866">
        <f t="shared" si="9"/>
        <v>12530</v>
      </c>
      <c r="AY12" s="2841" t="s">
        <v>1671</v>
      </c>
      <c r="AZ12" s="2841"/>
      <c r="BA12" s="2841"/>
      <c r="BB12" s="2841"/>
      <c r="BD12" s="1908"/>
      <c r="BE12" s="1909" t="s">
        <v>1672</v>
      </c>
      <c r="BF12" s="1910" t="s">
        <v>1671</v>
      </c>
    </row>
    <row r="13" spans="1:72" s="269" customFormat="1" ht="21.75" customHeight="1">
      <c r="A13" s="1722">
        <f t="shared" si="5"/>
        <v>10</v>
      </c>
      <c r="B13" s="1787" t="s">
        <v>1779</v>
      </c>
      <c r="C13" s="1788"/>
      <c r="D13" s="1791"/>
      <c r="E13" s="1719">
        <f>'NO DELETE'!I53</f>
        <v>8.9979999999999993</v>
      </c>
      <c r="F13" s="761">
        <f>'NO DELETE'!F53</f>
        <v>0.74299999999999999</v>
      </c>
      <c r="G13" s="718">
        <f>G8*2</f>
        <v>0.06</v>
      </c>
      <c r="H13" s="1717">
        <f>$H$8*2</f>
        <v>9392.2639999999992</v>
      </c>
      <c r="I13" s="1717">
        <f t="shared" si="1"/>
        <v>2622.2871399999999</v>
      </c>
      <c r="J13" s="1717">
        <f t="shared" si="2"/>
        <v>1546.9259999999999</v>
      </c>
      <c r="K13" s="1717">
        <f t="shared" si="3"/>
        <v>133.19999999999999</v>
      </c>
      <c r="L13" s="1717">
        <f>$L$8*2</f>
        <v>1270</v>
      </c>
      <c r="M13" s="1717">
        <f t="shared" si="8"/>
        <v>10.395</v>
      </c>
      <c r="N13" s="1739">
        <f t="shared" si="4"/>
        <v>14960</v>
      </c>
      <c r="S13" s="1768">
        <v>12</v>
      </c>
      <c r="T13" s="1774">
        <f t="shared" si="0"/>
        <v>31.5</v>
      </c>
      <c r="AA13" s="1805">
        <v>2</v>
      </c>
      <c r="AB13" s="1806">
        <f>+VLOOKUP(AA13,AA7:AB12,2)</f>
        <v>4</v>
      </c>
      <c r="AE13" s="1828">
        <v>1</v>
      </c>
      <c r="AF13" s="1831" t="s">
        <v>1359</v>
      </c>
      <c r="AG13" s="1832"/>
      <c r="AH13" s="1833"/>
      <c r="AI13"/>
      <c r="AJ13" s="744">
        <f t="shared" si="7"/>
        <v>10</v>
      </c>
      <c r="AK13" s="1595" t="s">
        <v>1821</v>
      </c>
      <c r="AL13" s="1596">
        <v>5200</v>
      </c>
      <c r="AM13" s="1597">
        <v>7600</v>
      </c>
      <c r="AN13" s="1597">
        <v>7600</v>
      </c>
      <c r="AQ13" s="1851">
        <v>3</v>
      </c>
      <c r="AR13" s="1864" t="s">
        <v>1291</v>
      </c>
      <c r="AS13" s="1135"/>
      <c r="AT13" s="1135"/>
      <c r="AU13" s="1135"/>
      <c r="AV13" s="1857"/>
      <c r="AW13" s="1866">
        <f t="shared" si="9"/>
        <v>13770</v>
      </c>
      <c r="AX13" s="2144">
        <v>1</v>
      </c>
      <c r="AY13" s="1397">
        <v>0.3</v>
      </c>
      <c r="AZ13" s="1196">
        <v>0.25</v>
      </c>
      <c r="BA13" s="1196">
        <v>0.2</v>
      </c>
      <c r="BB13" s="1196">
        <v>0.2</v>
      </c>
      <c r="BD13" s="315">
        <v>1</v>
      </c>
      <c r="BE13" s="1397">
        <v>0.25</v>
      </c>
      <c r="BF13" s="1397">
        <f>+IF('NO DELETE'!$AY$7=1,'NO DELETE'!AY13,IF('NO DELETE'!$AY$7=2,'NO DELETE'!AZ13,IF('NO DELETE'!$AY$7=3,'NO DELETE'!BA13,'NO DELETE'!BB13)))</f>
        <v>0.2</v>
      </c>
      <c r="BG13" s="2145">
        <f>+IF(AZ8=0.15,BE13,IF(AZ8=0.18,BE14,IF(AZ8=0.2,BE15,IF(AZ8=0.23,BE16,))))</f>
        <v>0.2</v>
      </c>
    </row>
    <row r="14" spans="1:72" s="269" customFormat="1" ht="21.75" customHeight="1" thickBot="1">
      <c r="A14" s="1722">
        <f t="shared" si="5"/>
        <v>11</v>
      </c>
      <c r="B14" s="1787" t="s">
        <v>1780</v>
      </c>
      <c r="C14" s="1788"/>
      <c r="D14" s="1791"/>
      <c r="E14" s="1718">
        <f>'NO DELETE'!J49</f>
        <v>4.0410000000000004</v>
      </c>
      <c r="F14" s="758">
        <f>'NO DELETE'!G49</f>
        <v>0.51800000000000002</v>
      </c>
      <c r="G14" s="761">
        <f>G4*3</f>
        <v>0.03</v>
      </c>
      <c r="H14" s="1717">
        <f>$H$4*3</f>
        <v>2585.0825</v>
      </c>
      <c r="I14" s="1717">
        <f t="shared" si="1"/>
        <v>1177.6686300000001</v>
      </c>
      <c r="J14" s="1717">
        <f t="shared" si="2"/>
        <v>1078.4760000000001</v>
      </c>
      <c r="K14" s="1717">
        <f t="shared" si="3"/>
        <v>66.599999999999994</v>
      </c>
      <c r="L14" s="1717">
        <f>L4*3</f>
        <v>1035</v>
      </c>
      <c r="M14" s="1717">
        <f>+ROUND(((C49*3+D49*6+C49)+(0.3+0.3))*(C49+D49*2+0.3),3)</f>
        <v>3.6230000000000002</v>
      </c>
      <c r="N14" s="1739">
        <f t="shared" si="4"/>
        <v>5940</v>
      </c>
      <c r="S14" s="1775">
        <v>4</v>
      </c>
      <c r="T14" s="1776">
        <f>+VLOOKUP(S14,S2:T13,2)</f>
        <v>23.5</v>
      </c>
      <c r="AA14" s="1807">
        <v>2</v>
      </c>
      <c r="AB14" s="1808">
        <f>+VLOOKUP(AA14,AA7:AB12,2)</f>
        <v>4</v>
      </c>
      <c r="AE14" s="1829">
        <v>2</v>
      </c>
      <c r="AF14" s="1834" t="s">
        <v>1360</v>
      </c>
      <c r="AG14" s="1835"/>
      <c r="AH14" s="1836"/>
      <c r="AI14"/>
      <c r="AJ14" s="744">
        <f t="shared" si="7"/>
        <v>11</v>
      </c>
      <c r="AK14" s="1595" t="s">
        <v>1835</v>
      </c>
      <c r="AL14" s="1596">
        <v>4890</v>
      </c>
      <c r="AM14" s="1597">
        <v>4890</v>
      </c>
      <c r="AN14" s="1597">
        <v>4890</v>
      </c>
      <c r="AO14"/>
      <c r="AQ14" s="1851">
        <v>4</v>
      </c>
      <c r="AR14" s="1864" t="s">
        <v>1292</v>
      </c>
      <c r="AS14" s="1135"/>
      <c r="AT14" s="1135"/>
      <c r="AU14" s="1135"/>
      <c r="AV14" s="1857"/>
      <c r="AW14" s="1866">
        <f t="shared" si="9"/>
        <v>15310</v>
      </c>
      <c r="AX14" s="2144">
        <v>2</v>
      </c>
      <c r="AY14" s="1196">
        <v>0.25</v>
      </c>
      <c r="AZ14" s="1196">
        <v>0.2</v>
      </c>
      <c r="BA14" s="1196">
        <v>0.15</v>
      </c>
      <c r="BB14" s="1196">
        <v>0.15</v>
      </c>
      <c r="BD14" s="315">
        <v>2</v>
      </c>
      <c r="BE14" s="1397">
        <v>0.23</v>
      </c>
      <c r="BF14" s="1397">
        <f>+IF('NO DELETE'!$AY$7=1,'NO DELETE'!AY14,IF('NO DELETE'!$AY$7=2,'NO DELETE'!AZ14,IF('NO DELETE'!$AY$7=3,'NO DELETE'!BA14,'NO DELETE'!BB14)))</f>
        <v>0.15</v>
      </c>
    </row>
    <row r="15" spans="1:72" s="269" customFormat="1" ht="24.75" thickBot="1">
      <c r="A15" s="1722">
        <f t="shared" si="5"/>
        <v>12</v>
      </c>
      <c r="B15" s="1787" t="s">
        <v>1781</v>
      </c>
      <c r="C15" s="1788"/>
      <c r="D15" s="1791"/>
      <c r="E15" s="1719">
        <f>'NO DELETE'!J50</f>
        <v>5.9039999999999999</v>
      </c>
      <c r="F15" s="761">
        <f>'NO DELETE'!G50</f>
        <v>0.65600000000000003</v>
      </c>
      <c r="G15" s="718">
        <f>G5*3</f>
        <v>0.06</v>
      </c>
      <c r="H15" s="1717">
        <f>$H$5*3</f>
        <v>5406.7766666666666</v>
      </c>
      <c r="I15" s="1717">
        <f t="shared" si="1"/>
        <v>1720.6027200000001</v>
      </c>
      <c r="J15" s="1717">
        <f t="shared" si="2"/>
        <v>1365.7920000000001</v>
      </c>
      <c r="K15" s="1717">
        <f t="shared" si="3"/>
        <v>133.19999999999999</v>
      </c>
      <c r="L15" s="1717">
        <f>$L$5*2</f>
        <v>842</v>
      </c>
      <c r="M15" s="1717">
        <f t="shared" ref="M15:M18" si="10">+ROUND(((C50*3+D50*6+C50)+(0.3+0.3))*(C50+D50*2+0.3),3)</f>
        <v>5.6369999999999996</v>
      </c>
      <c r="N15" s="1739">
        <f t="shared" si="4"/>
        <v>9460</v>
      </c>
      <c r="AE15" s="1829">
        <v>3</v>
      </c>
      <c r="AF15" s="1834" t="s">
        <v>1361</v>
      </c>
      <c r="AG15" s="1835"/>
      <c r="AH15" s="1836"/>
      <c r="AI15"/>
      <c r="AJ15" s="744">
        <f t="shared" si="7"/>
        <v>12</v>
      </c>
      <c r="AK15" s="1595" t="s">
        <v>1219</v>
      </c>
      <c r="AL15" s="1596">
        <v>4210</v>
      </c>
      <c r="AM15" s="1597">
        <v>4210</v>
      </c>
      <c r="AN15" s="1597">
        <v>4210</v>
      </c>
      <c r="AO15"/>
      <c r="AQ15" s="1851">
        <v>5</v>
      </c>
      <c r="AR15" s="1864" t="s">
        <v>1852</v>
      </c>
      <c r="AS15" s="1135"/>
      <c r="AT15" s="1135"/>
      <c r="AU15" s="1135"/>
      <c r="AV15" s="1857"/>
      <c r="AW15" s="1866">
        <f t="shared" si="9"/>
        <v>11370</v>
      </c>
      <c r="AX15" s="2144">
        <v>3</v>
      </c>
      <c r="AY15" s="1196">
        <v>0.2</v>
      </c>
      <c r="AZ15" s="1196">
        <v>0.15</v>
      </c>
      <c r="BA15" s="1196">
        <v>0.15</v>
      </c>
      <c r="BB15" s="1196">
        <v>0.15</v>
      </c>
      <c r="BD15" s="315">
        <v>3</v>
      </c>
      <c r="BE15" s="1397">
        <v>0.2</v>
      </c>
      <c r="BF15" s="1397">
        <f>+IF('NO DELETE'!$AY$7=1,'NO DELETE'!AY15,IF('NO DELETE'!$AY$7=2,'NO DELETE'!AZ15,IF('NO DELETE'!$AY$7=3,'NO DELETE'!BA15,'NO DELETE'!BB15)))</f>
        <v>0.15</v>
      </c>
    </row>
    <row r="16" spans="1:72" s="269" customFormat="1" ht="24.75" thickBot="1">
      <c r="A16" s="1722">
        <f t="shared" si="5"/>
        <v>13</v>
      </c>
      <c r="B16" s="1787" t="s">
        <v>1782</v>
      </c>
      <c r="C16" s="1788"/>
      <c r="D16" s="1791"/>
      <c r="E16" s="1719">
        <f>'NO DELETE'!J51</f>
        <v>8.0269999999999992</v>
      </c>
      <c r="F16" s="761">
        <f>'NO DELETE'!G51</f>
        <v>0.78900000000000003</v>
      </c>
      <c r="G16" s="718">
        <f>G6*3</f>
        <v>0.06</v>
      </c>
      <c r="H16" s="1717">
        <f>$H$6*3</f>
        <v>7524.1979999999994</v>
      </c>
      <c r="I16" s="1717">
        <f t="shared" si="1"/>
        <v>2339.30861</v>
      </c>
      <c r="J16" s="1717">
        <f t="shared" si="2"/>
        <v>1642.6980000000001</v>
      </c>
      <c r="K16" s="1717">
        <f t="shared" si="3"/>
        <v>133.19999999999999</v>
      </c>
      <c r="L16" s="1717">
        <f>$L$6*3</f>
        <v>1530</v>
      </c>
      <c r="M16" s="1717">
        <f t="shared" si="10"/>
        <v>7.9950000000000001</v>
      </c>
      <c r="N16" s="1739">
        <f t="shared" si="4"/>
        <v>13160</v>
      </c>
      <c r="O16" s="2857" t="str">
        <f>+IF(P7&gt;3,"FACTOR  ฝนตกชุก 2","FACTOR  ฝนตกชุก 1")</f>
        <v>FACTOR  ฝนตกชุก 1</v>
      </c>
      <c r="P16" s="2858"/>
      <c r="Q16" s="1813">
        <f>+IF(P7&gt;3,'S2'!BK17,'S2'!BJ17)</f>
        <v>1.3478000000000001</v>
      </c>
      <c r="R16" s="2915" t="s">
        <v>1475</v>
      </c>
      <c r="S16" s="2916"/>
      <c r="T16" s="2917">
        <f>+ปร.4_Roads!J170</f>
        <v>5600140.1900000004</v>
      </c>
      <c r="U16" s="2918"/>
      <c r="V16" s="2852" t="s">
        <v>1476</v>
      </c>
      <c r="W16" s="2853"/>
      <c r="X16" s="2850">
        <f>+T16*Q16</f>
        <v>7547868.9480820009</v>
      </c>
      <c r="Y16" s="2851"/>
      <c r="Z16" s="2855"/>
      <c r="AA16" s="2856"/>
      <c r="AB16" s="2850">
        <f>+Z16+X16</f>
        <v>7547868.9480820009</v>
      </c>
      <c r="AC16" s="2851"/>
      <c r="AE16" s="1830">
        <v>4</v>
      </c>
      <c r="AF16" s="1837" t="s">
        <v>1362</v>
      </c>
      <c r="AG16" s="1838"/>
      <c r="AH16" s="1839"/>
      <c r="AI16"/>
      <c r="AJ16" s="744">
        <f t="shared" si="7"/>
        <v>13</v>
      </c>
      <c r="AK16" s="1595" t="s">
        <v>1220</v>
      </c>
      <c r="AL16" s="1596">
        <v>6550</v>
      </c>
      <c r="AM16" s="1597">
        <v>12290</v>
      </c>
      <c r="AN16" s="1597">
        <v>20280</v>
      </c>
      <c r="AO16"/>
      <c r="AQ16" s="1851">
        <v>6</v>
      </c>
      <c r="AR16" s="1864" t="s">
        <v>1853</v>
      </c>
      <c r="AS16" s="1135"/>
      <c r="AT16" s="1135"/>
      <c r="AU16" s="1135"/>
      <c r="AV16" s="1857"/>
      <c r="AW16" s="1866">
        <f t="shared" si="9"/>
        <v>11960</v>
      </c>
      <c r="AX16" s="2144">
        <v>4</v>
      </c>
      <c r="AY16" s="1196">
        <v>0.4</v>
      </c>
      <c r="AZ16" s="1196">
        <v>0.3</v>
      </c>
      <c r="BA16" s="1196">
        <v>0.3</v>
      </c>
      <c r="BB16" s="1196">
        <v>0.25</v>
      </c>
      <c r="BD16" s="315">
        <v>4</v>
      </c>
      <c r="BE16" s="1397">
        <v>0.18</v>
      </c>
      <c r="BF16" s="1397">
        <f>+IF('NO DELETE'!$AY$7=1,'NO DELETE'!AY16,IF('NO DELETE'!$AY$7=2,'NO DELETE'!AZ16,IF('NO DELETE'!$AY$7=3,'NO DELETE'!BA16,'NO DELETE'!BB16)))</f>
        <v>0.3</v>
      </c>
    </row>
    <row r="17" spans="1:81" s="269" customFormat="1" ht="24.75" thickBot="1">
      <c r="A17" s="1722">
        <f t="shared" si="5"/>
        <v>14</v>
      </c>
      <c r="B17" s="1787" t="s">
        <v>1783</v>
      </c>
      <c r="C17" s="1788"/>
      <c r="D17" s="1791"/>
      <c r="E17" s="1719">
        <f>'NO DELETE'!J52</f>
        <v>10.459</v>
      </c>
      <c r="F17" s="761">
        <f>'NO DELETE'!G52</f>
        <v>0.92300000000000004</v>
      </c>
      <c r="G17" s="718">
        <f>$G$7*3</f>
        <v>0.06</v>
      </c>
      <c r="H17" s="1716">
        <f>$H$7*3</f>
        <v>10755.247499999999</v>
      </c>
      <c r="I17" s="1717">
        <f t="shared" si="1"/>
        <v>3048.06637</v>
      </c>
      <c r="J17" s="1717">
        <f t="shared" si="2"/>
        <v>1921.6860000000001</v>
      </c>
      <c r="K17" s="1717">
        <f t="shared" si="3"/>
        <v>133.19999999999999</v>
      </c>
      <c r="L17" s="1716">
        <f>$L$7*3</f>
        <v>1725</v>
      </c>
      <c r="M17" s="1717">
        <f t="shared" si="10"/>
        <v>10.763</v>
      </c>
      <c r="N17" s="1740">
        <f t="shared" si="4"/>
        <v>17580</v>
      </c>
      <c r="O17" s="2926" t="s">
        <v>1388</v>
      </c>
      <c r="P17" s="2927"/>
      <c r="Q17" s="1814">
        <f>+ROUND(IF(P7&gt;2,Q16*1.05,),4)</f>
        <v>1.4152</v>
      </c>
      <c r="R17" s="2919" t="s">
        <v>1475</v>
      </c>
      <c r="S17" s="2920"/>
      <c r="T17" s="2921">
        <f>+X16*1.05</f>
        <v>7925262.3954861015</v>
      </c>
      <c r="U17" s="2921"/>
      <c r="V17" s="2852" t="s">
        <v>1476</v>
      </c>
      <c r="W17" s="2853"/>
      <c r="X17" s="2850">
        <f>+T17-X16</f>
        <v>377393.44740410056</v>
      </c>
      <c r="Y17" s="2854"/>
      <c r="Z17" s="2850"/>
      <c r="AA17" s="2851"/>
      <c r="AB17" s="2922">
        <f>+Z17+X17</f>
        <v>377393.44740410056</v>
      </c>
      <c r="AC17" s="2923"/>
      <c r="AE17" s="1840">
        <v>1</v>
      </c>
      <c r="AI17"/>
      <c r="AJ17" s="744">
        <f t="shared" si="7"/>
        <v>14</v>
      </c>
      <c r="AK17" s="1595" t="s">
        <v>1221</v>
      </c>
      <c r="AL17" s="1596">
        <v>5320</v>
      </c>
      <c r="AM17" s="1597">
        <v>5320</v>
      </c>
      <c r="AN17" s="1597">
        <v>5320</v>
      </c>
      <c r="AO17"/>
      <c r="AQ17" s="1852">
        <v>7</v>
      </c>
      <c r="AR17" s="1865" t="s">
        <v>1854</v>
      </c>
      <c r="AS17" s="1859"/>
      <c r="AT17" s="1859"/>
      <c r="AU17" s="1859"/>
      <c r="AV17" s="1860"/>
      <c r="AW17" s="1867">
        <f t="shared" si="9"/>
        <v>12690</v>
      </c>
      <c r="AX17" s="2144">
        <v>5</v>
      </c>
      <c r="AY17" s="1196">
        <v>0.35</v>
      </c>
      <c r="AZ17" s="1196">
        <v>0.25</v>
      </c>
      <c r="BA17" s="1196">
        <v>0.25</v>
      </c>
      <c r="BB17" s="1196">
        <v>0.2</v>
      </c>
      <c r="BD17" s="315">
        <v>5</v>
      </c>
      <c r="BE17" s="1398">
        <v>0.15</v>
      </c>
      <c r="BF17" s="1397">
        <f>+IF('NO DELETE'!$AY$7=1,'NO DELETE'!AY17,IF('NO DELETE'!$AY$7=2,'NO DELETE'!AZ17,IF('NO DELETE'!$AY$7=3,'NO DELETE'!BA17,'NO DELETE'!BB17)))</f>
        <v>0.25</v>
      </c>
    </row>
    <row r="18" spans="1:81" s="269" customFormat="1" ht="23.25" customHeight="1" thickBot="1">
      <c r="A18" s="1723">
        <f t="shared" si="5"/>
        <v>15</v>
      </c>
      <c r="B18" s="1789" t="s">
        <v>1784</v>
      </c>
      <c r="C18" s="1790"/>
      <c r="D18" s="1795"/>
      <c r="E18" s="1794">
        <f>'NO DELETE'!J53</f>
        <v>14.736000000000001</v>
      </c>
      <c r="F18" s="770">
        <f>'NO DELETE'!G53</f>
        <v>1.125</v>
      </c>
      <c r="G18" s="769">
        <f>G8*3</f>
        <v>0.09</v>
      </c>
      <c r="H18" s="1741">
        <f>$H$8*3</f>
        <v>14088.395999999999</v>
      </c>
      <c r="I18" s="1742">
        <f t="shared" si="1"/>
        <v>4294.5124800000003</v>
      </c>
      <c r="J18" s="1742">
        <f t="shared" si="2"/>
        <v>2342.25</v>
      </c>
      <c r="K18" s="1742">
        <f t="shared" si="3"/>
        <v>199.79999999999998</v>
      </c>
      <c r="L18" s="1741">
        <f>$L$8*3</f>
        <v>1905</v>
      </c>
      <c r="M18" s="1742">
        <f t="shared" si="10"/>
        <v>15.75</v>
      </c>
      <c r="N18" s="1743">
        <f t="shared" si="4"/>
        <v>22820</v>
      </c>
      <c r="O18" s="2926" t="s">
        <v>1477</v>
      </c>
      <c r="P18" s="2927"/>
      <c r="Q18" s="1813">
        <f>+ROUND(IF(P7&gt;2,Q17,Q16),4)</f>
        <v>1.4152</v>
      </c>
      <c r="R18" s="2947" t="s">
        <v>1475</v>
      </c>
      <c r="S18" s="2948"/>
      <c r="T18" s="2863">
        <f>+X16</f>
        <v>7547868.9480820009</v>
      </c>
      <c r="U18" s="2851"/>
      <c r="V18" s="2852" t="s">
        <v>1478</v>
      </c>
      <c r="W18" s="2853"/>
      <c r="X18" s="2859">
        <f>+IF(P7&gt;2,X17,)</f>
        <v>377393.44740410056</v>
      </c>
      <c r="Y18" s="2860"/>
      <c r="Z18" s="2864">
        <f>+IF(P7&gt;2,ROUND(X16*0.05,2),)</f>
        <v>377393.45</v>
      </c>
      <c r="AA18" s="2865"/>
      <c r="AI18"/>
      <c r="AJ18" s="744">
        <f t="shared" si="7"/>
        <v>15</v>
      </c>
      <c r="AK18" s="1595" t="s">
        <v>1316</v>
      </c>
      <c r="AL18" s="1596">
        <v>4210</v>
      </c>
      <c r="AM18" s="1597">
        <v>4210</v>
      </c>
      <c r="AN18" s="1597">
        <v>4210</v>
      </c>
      <c r="AO18"/>
      <c r="BF18" s="171"/>
    </row>
    <row r="19" spans="1:81" s="269" customFormat="1" ht="21.75" customHeight="1" thickBot="1">
      <c r="AI19"/>
      <c r="AJ19" s="744">
        <f t="shared" si="7"/>
        <v>16</v>
      </c>
      <c r="AK19" s="1598" t="s">
        <v>1317</v>
      </c>
      <c r="AL19" s="1596">
        <v>4210</v>
      </c>
      <c r="AM19" s="1597">
        <v>4210</v>
      </c>
      <c r="AN19" s="1597">
        <v>4210</v>
      </c>
      <c r="AO19"/>
      <c r="AQ19" s="1589">
        <v>1</v>
      </c>
      <c r="AR19" s="718" t="s">
        <v>1850</v>
      </c>
      <c r="AS19" s="1607">
        <v>18200</v>
      </c>
      <c r="AT19" s="1607">
        <v>10320</v>
      </c>
      <c r="AY19" s="2840" t="s">
        <v>1695</v>
      </c>
      <c r="AZ19" s="2840"/>
      <c r="BA19" s="2840"/>
      <c r="BB19" s="2840"/>
      <c r="BE19" s="1911" t="s">
        <v>1690</v>
      </c>
      <c r="BF19" s="1911" t="s">
        <v>1693</v>
      </c>
      <c r="BG19" s="1911" t="s">
        <v>457</v>
      </c>
      <c r="BT19" s="537"/>
    </row>
    <row r="20" spans="1:81" s="269" customFormat="1" ht="21.75" customHeight="1" thickBot="1">
      <c r="A20" s="530"/>
      <c r="B20" s="530"/>
      <c r="C20" s="530"/>
      <c r="E20" s="1746">
        <f>'3.ต้นทุนวางท่อ'!N52</f>
        <v>2118</v>
      </c>
      <c r="F20" s="745"/>
      <c r="G20" s="745"/>
      <c r="H20" s="745"/>
      <c r="I20" s="1746">
        <f>'3.ต้นทุนวางท่อ'!N60</f>
        <v>351.3</v>
      </c>
      <c r="J20" s="1747">
        <v>3</v>
      </c>
      <c r="K20" s="1747">
        <v>8</v>
      </c>
      <c r="L20" s="1747">
        <v>13</v>
      </c>
      <c r="M20" s="1747">
        <v>13</v>
      </c>
      <c r="N20" s="1747">
        <v>13</v>
      </c>
      <c r="O20" s="1748">
        <f>+'3.ต้นทุนวางท่อ'!$H$115</f>
        <v>133</v>
      </c>
      <c r="P20" s="1748" t="e">
        <f>'3.ต้นทุนวางท่อ'!#REF!</f>
        <v>#REF!</v>
      </c>
      <c r="AI20"/>
      <c r="AJ20" s="744">
        <f t="shared" ref="AJ20:AJ30" si="11">+AJ19+1</f>
        <v>17</v>
      </c>
      <c r="AK20" s="1598" t="s">
        <v>1822</v>
      </c>
      <c r="AL20" s="1597">
        <v>5020</v>
      </c>
      <c r="AM20" s="1597">
        <v>5020</v>
      </c>
      <c r="AN20" s="1597">
        <v>5020</v>
      </c>
      <c r="AO20"/>
      <c r="AQ20" s="1588">
        <v>2</v>
      </c>
      <c r="AR20" s="1868" t="s">
        <v>1851</v>
      </c>
      <c r="AS20" s="1607">
        <v>20410</v>
      </c>
      <c r="AT20" s="1607">
        <v>12530</v>
      </c>
      <c r="AY20" s="1903">
        <v>3</v>
      </c>
      <c r="AZ20" s="1904">
        <v>3.5</v>
      </c>
      <c r="BA20" s="1904">
        <v>4</v>
      </c>
      <c r="BB20" s="1904">
        <v>4.5</v>
      </c>
      <c r="BD20" s="718">
        <v>1</v>
      </c>
      <c r="BE20" s="315">
        <v>112</v>
      </c>
      <c r="BF20" s="718">
        <f>+IF($BD$8=1,AY22,IF($BD$8=2,AZ22,IF($BD$8=3,BA22,BB22)))</f>
        <v>41</v>
      </c>
      <c r="BG20" s="315">
        <f>SUM(BE20:BF20)</f>
        <v>153</v>
      </c>
      <c r="BT20" s="537"/>
    </row>
    <row r="21" spans="1:81" s="269" customFormat="1" ht="21.75" customHeight="1" thickBot="1">
      <c r="A21" s="2888" t="s">
        <v>551</v>
      </c>
      <c r="B21" s="2889"/>
      <c r="C21" s="2889"/>
      <c r="D21" s="2890"/>
      <c r="E21" s="1744" t="s">
        <v>553</v>
      </c>
      <c r="F21" s="2886" t="s">
        <v>1874</v>
      </c>
      <c r="G21" s="2886" t="s">
        <v>1875</v>
      </c>
      <c r="H21" s="2886" t="s">
        <v>265</v>
      </c>
      <c r="I21" s="2884" t="s">
        <v>283</v>
      </c>
      <c r="J21" s="2882" t="s">
        <v>560</v>
      </c>
      <c r="K21" s="2886" t="s">
        <v>1874</v>
      </c>
      <c r="L21" s="2886" t="s">
        <v>1875</v>
      </c>
      <c r="M21" s="2886" t="s">
        <v>265</v>
      </c>
      <c r="N21" s="2884" t="s">
        <v>283</v>
      </c>
      <c r="O21" s="2882" t="s">
        <v>2075</v>
      </c>
      <c r="P21" s="2882" t="s">
        <v>448</v>
      </c>
      <c r="Q21" s="2884" t="s">
        <v>561</v>
      </c>
      <c r="R21" s="2900" t="s">
        <v>562</v>
      </c>
      <c r="T21" s="2857" t="s">
        <v>574</v>
      </c>
      <c r="U21" s="2858"/>
      <c r="X21" s="2857" t="s">
        <v>615</v>
      </c>
      <c r="Y21" s="2858"/>
      <c r="AA21" s="2857" t="s">
        <v>219</v>
      </c>
      <c r="AB21" s="2906"/>
      <c r="AC21" s="2906"/>
      <c r="AD21" s="2906"/>
      <c r="AE21" s="2906"/>
      <c r="AF21" s="2906"/>
      <c r="AG21" s="2906"/>
      <c r="AH21" s="2858"/>
      <c r="AI21"/>
      <c r="AJ21" s="744">
        <f t="shared" si="11"/>
        <v>18</v>
      </c>
      <c r="AK21" s="1598" t="s">
        <v>1823</v>
      </c>
      <c r="AL21" s="1597">
        <v>5620</v>
      </c>
      <c r="AM21" s="1597">
        <v>5620</v>
      </c>
      <c r="AN21" s="1597">
        <v>5620</v>
      </c>
      <c r="AO21"/>
      <c r="AQ21" s="1872">
        <v>2</v>
      </c>
      <c r="AS21" s="1607">
        <v>21650</v>
      </c>
      <c r="AT21" s="1607">
        <v>13770</v>
      </c>
      <c r="AY21" s="2841" t="s">
        <v>1671</v>
      </c>
      <c r="AZ21" s="2841"/>
      <c r="BA21" s="2841"/>
      <c r="BB21" s="2841"/>
      <c r="BD21" s="718">
        <v>2</v>
      </c>
      <c r="BE21" s="734">
        <v>121</v>
      </c>
      <c r="BF21" s="718">
        <f>+IF($BD$8=1,AY23,IF($BD$8=2,AZ23,IF($BD$8=3,BA23,BB23)))</f>
        <v>50</v>
      </c>
      <c r="BG21" s="315">
        <f>SUM(BE21:BF21)</f>
        <v>171</v>
      </c>
      <c r="BT21" s="537"/>
    </row>
    <row r="22" spans="1:81" s="269" customFormat="1" ht="22.5" thickBot="1">
      <c r="A22" s="2891"/>
      <c r="B22" s="2892"/>
      <c r="C22" s="2892"/>
      <c r="D22" s="2893"/>
      <c r="E22" s="1745" t="s">
        <v>32</v>
      </c>
      <c r="F22" s="2887"/>
      <c r="G22" s="2887"/>
      <c r="H22" s="2887"/>
      <c r="I22" s="2885"/>
      <c r="J22" s="2883"/>
      <c r="K22" s="2887"/>
      <c r="L22" s="2887"/>
      <c r="M22" s="2887"/>
      <c r="N22" s="2885"/>
      <c r="O22" s="2883"/>
      <c r="P22" s="2883"/>
      <c r="Q22" s="2885"/>
      <c r="R22" s="2901"/>
      <c r="T22" s="1752">
        <v>1</v>
      </c>
      <c r="U22" s="1753" t="s">
        <v>617</v>
      </c>
      <c r="X22" s="1752">
        <v>1</v>
      </c>
      <c r="Y22" s="1753">
        <v>1</v>
      </c>
      <c r="AA22" s="1841">
        <v>1</v>
      </c>
      <c r="AB22" s="1842" t="s">
        <v>1208</v>
      </c>
      <c r="AC22" s="1843"/>
      <c r="AD22" s="1843"/>
      <c r="AE22" s="1843"/>
      <c r="AF22" s="1844"/>
      <c r="AG22" s="1844"/>
      <c r="AH22" s="1796"/>
      <c r="AI22"/>
      <c r="AJ22" s="744">
        <f t="shared" si="11"/>
        <v>19</v>
      </c>
      <c r="AK22" s="1598" t="s">
        <v>1222</v>
      </c>
      <c r="AL22" s="1596">
        <v>2700</v>
      </c>
      <c r="AM22" s="1596">
        <v>3170</v>
      </c>
      <c r="AN22" s="1596">
        <v>3170</v>
      </c>
      <c r="AO22"/>
      <c r="AS22" s="1607">
        <v>23190</v>
      </c>
      <c r="AT22" s="1607">
        <v>15310</v>
      </c>
      <c r="AX22" s="2158">
        <v>0.15</v>
      </c>
      <c r="AY22" s="1399">
        <v>41</v>
      </c>
      <c r="AZ22" s="1400">
        <v>50</v>
      </c>
      <c r="BA22" s="1400">
        <v>62</v>
      </c>
      <c r="BB22" s="1400">
        <v>62</v>
      </c>
      <c r="BD22" s="718">
        <v>3</v>
      </c>
      <c r="BE22" s="734">
        <v>139</v>
      </c>
      <c r="BF22" s="718">
        <f>+IF($BD$8=1,AY24,IF($BD$8=2,AZ24,IF($BD$8=3,BA24,BB24)))</f>
        <v>62</v>
      </c>
      <c r="BG22" s="315">
        <f>SUM(BE22:BF22)</f>
        <v>201</v>
      </c>
      <c r="BT22" s="537"/>
    </row>
    <row r="23" spans="1:81" s="269" customFormat="1" ht="24">
      <c r="A23" s="1720">
        <v>1</v>
      </c>
      <c r="B23" s="1721" t="s">
        <v>1880</v>
      </c>
      <c r="C23" s="1785"/>
      <c r="D23" s="1798"/>
      <c r="E23" s="1724">
        <f>+'NO DELETE'!T58</f>
        <v>1.3620000000000001</v>
      </c>
      <c r="F23" s="1725">
        <f>+'NO DELETE'!AA77</f>
        <v>21.543700000000001</v>
      </c>
      <c r="G23" s="1725">
        <f>+'NO DELETE'!AB77</f>
        <v>6.9260000000000002</v>
      </c>
      <c r="H23" s="1726">
        <f t="shared" ref="H23:H37" si="12">ROUND(SUM(F23:G23)/1000*25,2)</f>
        <v>0.71</v>
      </c>
      <c r="I23" s="1725">
        <v>0.59</v>
      </c>
      <c r="J23" s="1727">
        <f t="shared" ref="J23:J37" si="13">$E$20*E23</f>
        <v>2884.7160000000003</v>
      </c>
      <c r="K23" s="1727">
        <f>F23*('3.ต้นทุนวางท่อ'!$H$17+'3.ต้นทุนวางท่อ'!$N$17*แหล่งวัสดุ!$U$69)/1000</f>
        <v>416.02586652299993</v>
      </c>
      <c r="L23" s="1727">
        <f>G23*('3.ต้นทุนวางท่อ'!$H$18+'3.ต้นทุนวางท่อ'!$N$18*แหล่งวัสดุ!$U$69)/1000</f>
        <v>132.50871681999999</v>
      </c>
      <c r="M23" s="1727">
        <f>+('3.ต้นทุนวางท่อ'!$H$19+'3.ต้นทุนวางท่อ'!$N$19)*H23</f>
        <v>33.178299999999993</v>
      </c>
      <c r="N23" s="1727">
        <f t="shared" ref="N23:N37" si="14">$I$20*I23</f>
        <v>207.267</v>
      </c>
      <c r="O23" s="2378">
        <f>+ROUND($O$20*I23,2)</f>
        <v>78.47</v>
      </c>
      <c r="P23" s="2376">
        <f>ROUND(F23*แหล่งวัสดุ!$V$32/1000+G23*แหล่งวัสดุ!$V$33/1000,2)</f>
        <v>111.18</v>
      </c>
      <c r="Q23" s="1727">
        <f t="shared" ref="Q23:Q37" si="15">IF(N23=0,0,ROUNDDOWN(SUM(J23:P23),-1))</f>
        <v>3860</v>
      </c>
      <c r="R23" s="1728">
        <f t="shared" ref="R23:R37" si="16">+Q23*2</f>
        <v>7720</v>
      </c>
      <c r="T23" s="1754">
        <v>2</v>
      </c>
      <c r="U23" s="1755" t="s">
        <v>618</v>
      </c>
      <c r="X23" s="1754">
        <v>2</v>
      </c>
      <c r="Y23" s="1755">
        <v>2</v>
      </c>
      <c r="AA23" s="1818">
        <v>2</v>
      </c>
      <c r="AB23" s="733" t="s">
        <v>1209</v>
      </c>
      <c r="AC23" s="728"/>
      <c r="AD23" s="728"/>
      <c r="AE23" s="728"/>
      <c r="AF23" s="725"/>
      <c r="AG23" s="725"/>
      <c r="AH23" s="1797"/>
      <c r="AI23"/>
      <c r="AJ23" s="1115">
        <f t="shared" si="11"/>
        <v>20</v>
      </c>
      <c r="AK23" s="1598" t="s">
        <v>1824</v>
      </c>
      <c r="AL23" s="1596">
        <v>2840</v>
      </c>
      <c r="AM23" s="1596">
        <v>3350</v>
      </c>
      <c r="AN23" s="1596">
        <v>3350</v>
      </c>
      <c r="AO23"/>
      <c r="AS23" s="1607">
        <v>19250</v>
      </c>
      <c r="AT23" s="1607">
        <v>11370</v>
      </c>
      <c r="AX23" s="2158">
        <v>0.18</v>
      </c>
      <c r="AY23" s="1400">
        <v>50</v>
      </c>
      <c r="AZ23" s="1400">
        <v>62</v>
      </c>
      <c r="BA23" s="1400">
        <v>82</v>
      </c>
      <c r="BB23" s="1400">
        <v>82</v>
      </c>
      <c r="BD23" s="718">
        <v>4</v>
      </c>
      <c r="BE23" s="734">
        <v>154</v>
      </c>
      <c r="BF23" s="718">
        <f>+IF($BD$8=1,AY25,IF($BD$8=2,AZ25,IF($BD$8=3,BA25,BB25)))</f>
        <v>69</v>
      </c>
      <c r="BG23" s="315">
        <f>SUM(BE23:BF23)</f>
        <v>223</v>
      </c>
      <c r="BT23" s="537"/>
    </row>
    <row r="24" spans="1:81" s="269" customFormat="1" ht="24">
      <c r="A24" s="1722">
        <f t="shared" ref="A24:A37" si="17">A23+1</f>
        <v>2</v>
      </c>
      <c r="B24" s="1787" t="s">
        <v>1881</v>
      </c>
      <c r="C24" s="1788"/>
      <c r="D24" s="1799"/>
      <c r="E24" s="1729">
        <f>+'NO DELETE'!T61</f>
        <v>1.6339999999999999</v>
      </c>
      <c r="F24" s="731">
        <f>+'NO DELETE'!AA80</f>
        <v>38.309199999999997</v>
      </c>
      <c r="G24" s="731">
        <f>+'NO DELETE'!AB80</f>
        <v>7.7789999999999999</v>
      </c>
      <c r="H24" s="1639">
        <f t="shared" si="12"/>
        <v>1.1499999999999999</v>
      </c>
      <c r="I24" s="1639">
        <f>ROUND(I33*1.5,2)</f>
        <v>1.99</v>
      </c>
      <c r="J24" s="736">
        <f t="shared" si="13"/>
        <v>3460.8119999999999</v>
      </c>
      <c r="K24" s="736">
        <f>F24*('3.ต้นทุนวางท่อ'!$H$17+'3.ต้นทุนวางท่อ'!$N$17*แหล่งวัสดุ!$U$69)/1000</f>
        <v>739.78091626799983</v>
      </c>
      <c r="L24" s="736">
        <f>G24*('3.ต้นทุนวางท่อ'!$H$18+'3.ต้นทุนวางท่อ'!$N$18*แหล่งวัสดุ!$U$69)/1000</f>
        <v>148.82837253</v>
      </c>
      <c r="M24" s="736">
        <f>+('3.ต้นทุนวางท่อ'!$H$19+'3.ต้นทุนวางท่อ'!$N$19)*H24</f>
        <v>53.739499999999992</v>
      </c>
      <c r="N24" s="736">
        <f t="shared" si="14"/>
        <v>699.08699999999999</v>
      </c>
      <c r="O24" s="736">
        <f t="shared" ref="O24:O37" si="18">+ROUND($O$20*I24,2)</f>
        <v>264.67</v>
      </c>
      <c r="P24" s="730">
        <f>ROUND(F24*แหล่งวัสดุ!$V$32/1000+G24*แหล่งวัสดุ!$V$33/1000,2)</f>
        <v>182.74</v>
      </c>
      <c r="Q24" s="736">
        <f t="shared" si="15"/>
        <v>5540</v>
      </c>
      <c r="R24" s="1730">
        <f t="shared" si="16"/>
        <v>11080</v>
      </c>
      <c r="S24" s="534"/>
      <c r="T24" s="1754">
        <v>3</v>
      </c>
      <c r="U24" s="1755" t="s">
        <v>619</v>
      </c>
      <c r="X24" s="1754">
        <v>3</v>
      </c>
      <c r="Y24" s="1755">
        <v>3</v>
      </c>
      <c r="AA24" s="1818">
        <v>3</v>
      </c>
      <c r="AB24" s="733" t="s">
        <v>1210</v>
      </c>
      <c r="AC24" s="728"/>
      <c r="AD24" s="728"/>
      <c r="AE24" s="728"/>
      <c r="AF24" s="725"/>
      <c r="AG24" s="725"/>
      <c r="AH24" s="1797"/>
      <c r="AI24"/>
      <c r="AJ24" s="1116">
        <f t="shared" si="11"/>
        <v>21</v>
      </c>
      <c r="AK24" s="1598" t="s">
        <v>1223</v>
      </c>
      <c r="AL24" s="1596">
        <v>4930</v>
      </c>
      <c r="AM24" s="1596">
        <v>4930</v>
      </c>
      <c r="AN24" s="1596">
        <v>4930</v>
      </c>
      <c r="AO24"/>
      <c r="AS24" s="1607">
        <v>19840</v>
      </c>
      <c r="AT24" s="1607">
        <v>11960</v>
      </c>
      <c r="AX24" s="2158">
        <v>0.2</v>
      </c>
      <c r="AY24" s="1400">
        <v>62</v>
      </c>
      <c r="AZ24" s="1400">
        <v>82</v>
      </c>
      <c r="BA24" s="1400">
        <v>82</v>
      </c>
      <c r="BB24" s="1400">
        <v>82</v>
      </c>
      <c r="BD24" s="718">
        <v>5</v>
      </c>
      <c r="BE24" s="734">
        <v>185</v>
      </c>
      <c r="BF24" s="718">
        <f>+IF($BD$8=1,AY26,IF($BD$8=2,AZ26,IF($BD$8=3,BA26,BB26)))</f>
        <v>79</v>
      </c>
      <c r="BG24" s="315">
        <f>SUM(BE24:BF24)</f>
        <v>264</v>
      </c>
      <c r="BT24" s="537"/>
    </row>
    <row r="25" spans="1:81" s="269" customFormat="1" ht="21.75" customHeight="1">
      <c r="A25" s="1722">
        <f t="shared" si="17"/>
        <v>3</v>
      </c>
      <c r="B25" s="1787" t="s">
        <v>1879</v>
      </c>
      <c r="C25" s="1788"/>
      <c r="D25" s="1799"/>
      <c r="E25" s="1729">
        <f>+'NO DELETE'!T64</f>
        <v>1.9129999999999998</v>
      </c>
      <c r="F25" s="731">
        <f>+'NO DELETE'!AA83</f>
        <v>44.380400000000002</v>
      </c>
      <c r="G25" s="731">
        <f>+'NO DELETE'!AB83</f>
        <v>8.5960000000000001</v>
      </c>
      <c r="H25" s="1639">
        <f t="shared" si="12"/>
        <v>1.32</v>
      </c>
      <c r="I25" s="1639">
        <f>ROUND(I34*1.5,2)</f>
        <v>6.72</v>
      </c>
      <c r="J25" s="736">
        <f t="shared" si="13"/>
        <v>4051.7339999999995</v>
      </c>
      <c r="K25" s="736">
        <f>F25*('3.ต้นทุนวางท่อ'!$H$17+'3.ต้นทุนวางท่อ'!$N$17*แหล่งวัสดุ!$U$69)/1000</f>
        <v>857.02058451599987</v>
      </c>
      <c r="L25" s="736">
        <f>G25*('3.ต้นทุนวางท่อ'!$H$18+'3.ต้นทุนวางท่อ'!$N$18*แหล่งวัสดุ!$U$69)/1000</f>
        <v>164.45927372</v>
      </c>
      <c r="M25" s="736">
        <f>+('3.ต้นทุนวางท่อ'!$H$19+'3.ต้นทุนวางท่อ'!$N$19)*H25</f>
        <v>61.683599999999998</v>
      </c>
      <c r="N25" s="736">
        <f t="shared" si="14"/>
        <v>2360.7359999999999</v>
      </c>
      <c r="O25" s="736">
        <f t="shared" si="18"/>
        <v>893.76</v>
      </c>
      <c r="P25" s="730">
        <f>ROUND(F25*แหล่งวัสดุ!$V$32/1000+G25*แหล่งวัสดุ!$V$33/1000,2)</f>
        <v>210.33</v>
      </c>
      <c r="Q25" s="736">
        <f t="shared" si="15"/>
        <v>8590</v>
      </c>
      <c r="R25" s="1730">
        <f t="shared" si="16"/>
        <v>17180</v>
      </c>
      <c r="S25" s="534"/>
      <c r="T25" s="1754">
        <v>4</v>
      </c>
      <c r="U25" s="1755" t="s">
        <v>620</v>
      </c>
      <c r="X25" s="1754">
        <v>4</v>
      </c>
      <c r="Y25" s="1755">
        <v>4</v>
      </c>
      <c r="AA25" s="1768">
        <v>4</v>
      </c>
      <c r="AB25" s="721" t="s">
        <v>1738</v>
      </c>
      <c r="AC25" s="735"/>
      <c r="AD25" s="735"/>
      <c r="AE25" s="735"/>
      <c r="AF25" s="735"/>
      <c r="AG25" s="735"/>
      <c r="AH25" s="1821"/>
      <c r="AI25"/>
      <c r="AJ25" s="1116">
        <f t="shared" si="11"/>
        <v>22</v>
      </c>
      <c r="AK25" s="1598" t="s">
        <v>1832</v>
      </c>
      <c r="AL25" s="1596">
        <v>6520</v>
      </c>
      <c r="AM25" s="1596">
        <v>6520</v>
      </c>
      <c r="AN25" s="1596">
        <v>6520</v>
      </c>
      <c r="AO25"/>
      <c r="AS25" s="1607">
        <v>20570</v>
      </c>
      <c r="AT25" s="1607">
        <v>12690</v>
      </c>
      <c r="AX25" s="2158">
        <v>0.23</v>
      </c>
      <c r="AY25" s="1400">
        <v>69</v>
      </c>
      <c r="AZ25" s="1400">
        <v>93</v>
      </c>
      <c r="BA25" s="1400">
        <v>93</v>
      </c>
      <c r="BB25" s="1400">
        <v>111</v>
      </c>
      <c r="BE25" s="1273">
        <f>+VLOOKUP($AY$7,$BD$20:$BE$24,2)</f>
        <v>139</v>
      </c>
      <c r="BF25" s="1273">
        <f>+VLOOKUP($AY$7,$BD$20:$BF$24,3)</f>
        <v>62</v>
      </c>
      <c r="BG25" s="1273">
        <f>+VLOOKUP(AY7,BD20:BG24,4)</f>
        <v>201</v>
      </c>
      <c r="BT25" s="537"/>
    </row>
    <row r="26" spans="1:81" s="269" customFormat="1" ht="24.75" thickBot="1">
      <c r="A26" s="1722">
        <f t="shared" si="17"/>
        <v>4</v>
      </c>
      <c r="B26" s="1787" t="s">
        <v>1882</v>
      </c>
      <c r="C26" s="1788"/>
      <c r="D26" s="1799"/>
      <c r="E26" s="1729">
        <f>+'NO DELETE'!T67</f>
        <v>2.21</v>
      </c>
      <c r="F26" s="731">
        <f>+'NO DELETE'!AA86</f>
        <v>47.498800000000003</v>
      </c>
      <c r="G26" s="731">
        <f>+'NO DELETE'!AB86</f>
        <v>9.4130000000000003</v>
      </c>
      <c r="H26" s="1639">
        <f t="shared" si="12"/>
        <v>1.42</v>
      </c>
      <c r="I26" s="1639">
        <f>ROUND(I35*1.5,2)</f>
        <v>22.68</v>
      </c>
      <c r="J26" s="736">
        <f t="shared" si="13"/>
        <v>4680.78</v>
      </c>
      <c r="K26" s="736">
        <f>F26*('3.ต้นทุนวางท่อ'!$H$17+'3.ต้นทุนวางท่อ'!$N$17*แหล่งวัสดุ!$U$69)/1000</f>
        <v>917.23935205199984</v>
      </c>
      <c r="L26" s="736">
        <f>G26*('3.ต้นทุนวางท่อ'!$H$18+'3.ต้นทุนวางท่อ'!$N$18*แหล่งวัสดุ!$U$69)/1000</f>
        <v>180.09017491</v>
      </c>
      <c r="M26" s="736">
        <f>+('3.ต้นทุนวางท่อ'!$H$19+'3.ต้นทุนวางท่อ'!$N$19)*H26</f>
        <v>66.356599999999986</v>
      </c>
      <c r="N26" s="736">
        <f t="shared" si="14"/>
        <v>7967.4840000000004</v>
      </c>
      <c r="O26" s="736">
        <f t="shared" si="18"/>
        <v>3016.44</v>
      </c>
      <c r="P26" s="730">
        <f>ROUND(F26*แหล่งวัสดุ!$V$32/1000+G26*แหล่งวัสดุ!$V$33/1000,2)</f>
        <v>225.81</v>
      </c>
      <c r="Q26" s="736">
        <f t="shared" si="15"/>
        <v>17050</v>
      </c>
      <c r="R26" s="1730">
        <f t="shared" si="16"/>
        <v>34100</v>
      </c>
      <c r="S26" s="534"/>
      <c r="T26" s="1754">
        <v>5</v>
      </c>
      <c r="U26" s="1755" t="s">
        <v>621</v>
      </c>
      <c r="X26" s="1754">
        <v>5</v>
      </c>
      <c r="Y26" s="1755">
        <v>5</v>
      </c>
      <c r="AA26" s="1766">
        <v>5</v>
      </c>
      <c r="AB26" s="737" t="s">
        <v>1739</v>
      </c>
      <c r="AC26" s="738"/>
      <c r="AD26" s="738"/>
      <c r="AE26" s="738"/>
      <c r="AF26" s="738"/>
      <c r="AG26" s="738"/>
      <c r="AH26" s="1822"/>
      <c r="AI26"/>
      <c r="AJ26" s="1116">
        <f t="shared" si="11"/>
        <v>23</v>
      </c>
      <c r="AK26" s="1598" t="s">
        <v>1224</v>
      </c>
      <c r="AL26" s="1596">
        <v>3320</v>
      </c>
      <c r="AM26" s="1596">
        <v>4220</v>
      </c>
      <c r="AN26" s="1596">
        <v>4220</v>
      </c>
      <c r="AO26"/>
      <c r="AQ26" s="2866" t="s">
        <v>1622</v>
      </c>
      <c r="AR26" s="2867"/>
      <c r="AS26" s="2867"/>
      <c r="AT26" s="2867"/>
      <c r="AU26" s="2868"/>
      <c r="AX26" s="2158">
        <v>0.25</v>
      </c>
      <c r="AY26" s="1400">
        <v>79</v>
      </c>
      <c r="AZ26" s="1400">
        <v>111</v>
      </c>
      <c r="BA26" s="1400">
        <v>111</v>
      </c>
      <c r="BB26" s="1400">
        <v>139</v>
      </c>
      <c r="BT26" s="537"/>
      <c r="CA26"/>
      <c r="CB26"/>
      <c r="CC26"/>
    </row>
    <row r="27" spans="1:81" s="269" customFormat="1" ht="24.75" thickBot="1">
      <c r="A27" s="1722">
        <f t="shared" si="17"/>
        <v>5</v>
      </c>
      <c r="B27" s="1787" t="s">
        <v>1883</v>
      </c>
      <c r="C27" s="1788"/>
      <c r="D27" s="1799"/>
      <c r="E27" s="1729">
        <f>+'NO DELETE'!T70</f>
        <v>2.6929999999999996</v>
      </c>
      <c r="F27" s="731">
        <f>+'NO DELETE'!AA89</f>
        <v>54.418100000000003</v>
      </c>
      <c r="G27" s="731">
        <f>+'NO DELETE'!AB89</f>
        <v>10.656000000000001</v>
      </c>
      <c r="H27" s="1639">
        <f t="shared" si="12"/>
        <v>1.63</v>
      </c>
      <c r="I27" s="1639">
        <f>ROUND(I36*1.5,2)</f>
        <v>76.55</v>
      </c>
      <c r="J27" s="736">
        <f t="shared" si="13"/>
        <v>5703.7739999999994</v>
      </c>
      <c r="K27" s="736">
        <f>F27*('3.ต้นทุนวางท่อ'!$H$17+'3.ต้นทุนวางท่อ'!$N$17*แหล่งวัสดุ!$U$69)/1000</f>
        <v>1050.8565012989998</v>
      </c>
      <c r="L27" s="736">
        <f>G27*('3.ต้นทุนวางท่อ'!$H$18+'3.ต้นทุนวางท่อ'!$N$18*แหล่งวัสดุ!$U$69)/1000</f>
        <v>203.87133792000003</v>
      </c>
      <c r="M27" s="736">
        <f>+('3.ต้นทุนวางท่อ'!$H$19+'3.ต้นทุนวางท่อ'!$N$19)*H27</f>
        <v>76.169899999999984</v>
      </c>
      <c r="N27" s="736">
        <f t="shared" si="14"/>
        <v>26892.014999999999</v>
      </c>
      <c r="O27" s="736">
        <f t="shared" si="18"/>
        <v>10181.15</v>
      </c>
      <c r="P27" s="730">
        <f>ROUND(F27*แหล่งวัสดุ!$V$32/1000+G27*แหล่งวัสดุ!$V$33/1000,2)</f>
        <v>258.27999999999997</v>
      </c>
      <c r="Q27" s="736">
        <f t="shared" si="15"/>
        <v>44360</v>
      </c>
      <c r="R27" s="1730">
        <f t="shared" si="16"/>
        <v>88720</v>
      </c>
      <c r="S27" s="534"/>
      <c r="T27" s="1754">
        <v>6</v>
      </c>
      <c r="U27" s="1755" t="s">
        <v>622</v>
      </c>
      <c r="X27" s="1754">
        <v>6</v>
      </c>
      <c r="Y27" s="1755">
        <v>6</v>
      </c>
      <c r="AA27" s="1766">
        <v>6</v>
      </c>
      <c r="AB27" s="737" t="s">
        <v>1740</v>
      </c>
      <c r="AC27" s="738"/>
      <c r="AD27" s="738"/>
      <c r="AE27" s="738"/>
      <c r="AF27" s="738"/>
      <c r="AG27" s="738"/>
      <c r="AH27" s="1822"/>
      <c r="AI27"/>
      <c r="AJ27" s="1116">
        <f t="shared" si="11"/>
        <v>24</v>
      </c>
      <c r="AK27" s="1598" t="s">
        <v>1225</v>
      </c>
      <c r="AL27" s="1596">
        <v>4870</v>
      </c>
      <c r="AM27" s="1597">
        <v>6430</v>
      </c>
      <c r="AN27" s="1597">
        <v>6430</v>
      </c>
      <c r="AO27"/>
      <c r="AQ27" s="1640">
        <v>1</v>
      </c>
      <c r="AR27" s="1800" t="s">
        <v>1803</v>
      </c>
      <c r="AS27" s="1453"/>
      <c r="AT27" s="722"/>
      <c r="AU27" s="723"/>
      <c r="BE27" s="2953" t="s">
        <v>1878</v>
      </c>
      <c r="BF27" s="2954"/>
      <c r="BG27" s="2955"/>
      <c r="BT27" s="537"/>
      <c r="CA27"/>
      <c r="CB27"/>
      <c r="CC27"/>
    </row>
    <row r="28" spans="1:81" s="269" customFormat="1" ht="24">
      <c r="A28" s="1722">
        <f t="shared" si="17"/>
        <v>6</v>
      </c>
      <c r="B28" s="1787" t="s">
        <v>1884</v>
      </c>
      <c r="C28" s="1788"/>
      <c r="D28" s="1799"/>
      <c r="E28" s="1729">
        <f>+'NO DELETE'!T59</f>
        <v>2.0649999999999999</v>
      </c>
      <c r="F28" s="731">
        <f>+'NO DELETE'!AA78</f>
        <v>32.879899999999999</v>
      </c>
      <c r="G28" s="731">
        <f>+'NO DELETE'!AB78</f>
        <v>10.656000000000001</v>
      </c>
      <c r="H28" s="1639">
        <f t="shared" si="12"/>
        <v>1.0900000000000001</v>
      </c>
      <c r="I28" s="1639">
        <f t="shared" ref="I28:I37" si="19">I23*1.5</f>
        <v>0.88500000000000001</v>
      </c>
      <c r="J28" s="736">
        <f t="shared" si="13"/>
        <v>4373.67</v>
      </c>
      <c r="K28" s="736">
        <f>F28*('3.ต้นทุนวางท่อ'!$H$17+'3.ต้นทุนวางท่อ'!$N$17*แหล่งวัสดุ!$U$69)/1000</f>
        <v>634.93684412099992</v>
      </c>
      <c r="L28" s="736">
        <f>G28*('3.ต้นทุนวางท่อ'!$H$18+'3.ต้นทุนวางท่อ'!$N$18*แหล่งวัสดุ!$U$69)/1000</f>
        <v>203.87133792000003</v>
      </c>
      <c r="M28" s="736">
        <f>+('3.ต้นทุนวางท่อ'!$H$19+'3.ต้นทุนวางท่อ'!$N$19)*H28</f>
        <v>50.935699999999997</v>
      </c>
      <c r="N28" s="736">
        <f t="shared" si="14"/>
        <v>310.90050000000002</v>
      </c>
      <c r="O28" s="736">
        <f t="shared" si="18"/>
        <v>117.71</v>
      </c>
      <c r="P28" s="730">
        <f>ROUND(F28*แหล่งวัสดุ!$V$32/1000+G28*แหล่งวัสดุ!$V$33/1000,2)</f>
        <v>169.97</v>
      </c>
      <c r="Q28" s="736">
        <f t="shared" si="15"/>
        <v>5860</v>
      </c>
      <c r="R28" s="1730">
        <f t="shared" si="16"/>
        <v>11720</v>
      </c>
      <c r="S28" s="534"/>
      <c r="T28" s="1754">
        <v>7</v>
      </c>
      <c r="U28" s="1755" t="s">
        <v>623</v>
      </c>
      <c r="X28" s="1754">
        <v>7</v>
      </c>
      <c r="Y28" s="1755">
        <v>7</v>
      </c>
      <c r="Z28" s="268"/>
      <c r="AA28" s="1766">
        <v>7</v>
      </c>
      <c r="AB28" s="719" t="s">
        <v>1294</v>
      </c>
      <c r="AC28" s="1453"/>
      <c r="AD28" s="1453"/>
      <c r="AE28" s="1453"/>
      <c r="AF28" s="1453"/>
      <c r="AG28" s="738"/>
      <c r="AH28" s="1822"/>
      <c r="AI28"/>
      <c r="AJ28" s="1116">
        <f t="shared" si="11"/>
        <v>25</v>
      </c>
      <c r="AK28" s="1599" t="s">
        <v>1318</v>
      </c>
      <c r="AL28" s="1600">
        <v>3180</v>
      </c>
      <c r="AM28" s="1601">
        <v>3770</v>
      </c>
      <c r="AN28" s="1601">
        <v>4510</v>
      </c>
      <c r="AO28"/>
      <c r="AQ28" s="1640">
        <v>2</v>
      </c>
      <c r="AR28" s="737" t="s">
        <v>1876</v>
      </c>
      <c r="AS28" s="738"/>
      <c r="AT28" s="725"/>
      <c r="AU28" s="726"/>
      <c r="AY28" s="1315" t="s">
        <v>604</v>
      </c>
      <c r="AZ28" s="1315" t="s">
        <v>1691</v>
      </c>
      <c r="BA28" s="1315" t="s">
        <v>1692</v>
      </c>
      <c r="BB28" s="268"/>
      <c r="BC28" s="268"/>
      <c r="BE28" s="1809">
        <v>1</v>
      </c>
      <c r="BF28" s="2959" t="s">
        <v>1734</v>
      </c>
      <c r="BG28" s="2960"/>
      <c r="BL28"/>
      <c r="BM28"/>
      <c r="BN28"/>
      <c r="BT28" s="537"/>
      <c r="CA28"/>
      <c r="CB28"/>
      <c r="CC28"/>
    </row>
    <row r="29" spans="1:81" s="269" customFormat="1" ht="24">
      <c r="A29" s="1722">
        <f t="shared" si="17"/>
        <v>7</v>
      </c>
      <c r="B29" s="1787" t="s">
        <v>1885</v>
      </c>
      <c r="C29" s="1788"/>
      <c r="D29" s="1799"/>
      <c r="E29" s="1729">
        <f>+'NO DELETE'!T62</f>
        <v>2.6269999999999998</v>
      </c>
      <c r="F29" s="731">
        <f>+'NO DELETE'!AA81</f>
        <v>60.878399999999999</v>
      </c>
      <c r="G29" s="731">
        <f>+'NO DELETE'!AB81</f>
        <v>12.715999999999999</v>
      </c>
      <c r="H29" s="1639">
        <f t="shared" si="12"/>
        <v>1.84</v>
      </c>
      <c r="I29" s="1639">
        <f t="shared" si="19"/>
        <v>2.9849999999999999</v>
      </c>
      <c r="J29" s="736">
        <f t="shared" si="13"/>
        <v>5563.9859999999999</v>
      </c>
      <c r="K29" s="736">
        <f>F29*('3.ต้นทุนวางท่อ'!$H$17+'3.ต้นทุนวางท่อ'!$N$17*แหล่งวัสดุ!$U$69)/1000</f>
        <v>1175.6099979359999</v>
      </c>
      <c r="L29" s="736">
        <f>G29*('3.ต้นทุนวางท่อ'!$H$18+'3.ต้นทุนวางท่อ'!$N$18*แหล่งวัสดุ!$U$69)/1000</f>
        <v>243.28340211999998</v>
      </c>
      <c r="M29" s="736">
        <f>+('3.ต้นทุนวางท่อ'!$H$19+'3.ต้นทุนวางท่อ'!$N$19)*H29</f>
        <v>85.983199999999997</v>
      </c>
      <c r="N29" s="736">
        <f t="shared" si="14"/>
        <v>1048.6305</v>
      </c>
      <c r="O29" s="736">
        <f t="shared" si="18"/>
        <v>397.01</v>
      </c>
      <c r="P29" s="730">
        <f>ROUND(F29*แหล่งวัสดุ!$V$32/1000+G29*แหล่งวัสดุ!$V$33/1000,2)</f>
        <v>291.56</v>
      </c>
      <c r="Q29" s="736">
        <f t="shared" si="15"/>
        <v>8800</v>
      </c>
      <c r="R29" s="1730">
        <f t="shared" si="16"/>
        <v>17600</v>
      </c>
      <c r="S29" s="534"/>
      <c r="T29" s="1754">
        <v>8</v>
      </c>
      <c r="U29" s="1755" t="s">
        <v>624</v>
      </c>
      <c r="X29" s="1754">
        <v>8</v>
      </c>
      <c r="Y29" s="1755">
        <v>8</v>
      </c>
      <c r="Z29" s="268"/>
      <c r="AA29" s="1766">
        <v>8</v>
      </c>
      <c r="AB29" s="719" t="s">
        <v>1297</v>
      </c>
      <c r="AC29" s="722"/>
      <c r="AD29" s="722"/>
      <c r="AE29" s="738"/>
      <c r="AF29" s="738"/>
      <c r="AG29" s="738"/>
      <c r="AH29" s="1822"/>
      <c r="AI29"/>
      <c r="AJ29" s="1116">
        <f t="shared" si="11"/>
        <v>26</v>
      </c>
      <c r="AK29" s="1602" t="s">
        <v>1342</v>
      </c>
      <c r="AL29" s="1603">
        <v>9640</v>
      </c>
      <c r="AM29" s="1604">
        <v>9640</v>
      </c>
      <c r="AN29" s="1604">
        <v>9640</v>
      </c>
      <c r="AO29"/>
      <c r="AQ29" s="1874">
        <v>3</v>
      </c>
      <c r="AR29" s="737" t="s">
        <v>1900</v>
      </c>
      <c r="AS29" s="738"/>
      <c r="AT29" s="725"/>
      <c r="AU29" s="726"/>
      <c r="AY29" s="1396">
        <v>1</v>
      </c>
      <c r="AZ29" s="730">
        <v>0.5</v>
      </c>
      <c r="BA29" s="730">
        <v>0.5</v>
      </c>
      <c r="BB29" s="268"/>
      <c r="BC29" s="268"/>
      <c r="BE29" s="1810">
        <v>2</v>
      </c>
      <c r="BF29" s="2844" t="s">
        <v>1735</v>
      </c>
      <c r="BG29" s="2845"/>
      <c r="BT29" s="537"/>
    </row>
    <row r="30" spans="1:81" s="269" customFormat="1" ht="24.75" thickBot="1">
      <c r="A30" s="1722">
        <f t="shared" si="17"/>
        <v>8</v>
      </c>
      <c r="B30" s="1787" t="s">
        <v>1886</v>
      </c>
      <c r="C30" s="1788"/>
      <c r="D30" s="1799"/>
      <c r="E30" s="1729">
        <f>+'NO DELETE'!T65</f>
        <v>3.222</v>
      </c>
      <c r="F30" s="731">
        <f>+'NO DELETE'!AA84</f>
        <v>75.327299999999994</v>
      </c>
      <c r="G30" s="731">
        <f>+'NO DELETE'!AB84</f>
        <v>14.705</v>
      </c>
      <c r="H30" s="1639">
        <f t="shared" si="12"/>
        <v>2.25</v>
      </c>
      <c r="I30" s="1639">
        <f t="shared" si="19"/>
        <v>10.08</v>
      </c>
      <c r="J30" s="736">
        <f t="shared" si="13"/>
        <v>6824.1959999999999</v>
      </c>
      <c r="K30" s="736">
        <f>F30*('3.ต้นทุนวางท่อ'!$H$17+'3.ต้นทุนวางท่อ'!$N$17*แหล่งวัสดุ!$U$69)/1000</f>
        <v>1454.6296715669998</v>
      </c>
      <c r="L30" s="736">
        <f>G30*('3.ต้นทุนวางท่อ'!$H$18+'3.ต้นทุนวางท่อ'!$N$18*แหล่งวัสดุ!$U$69)/1000</f>
        <v>281.33708935000004</v>
      </c>
      <c r="M30" s="736">
        <f>+('3.ต้นทุนวางท่อ'!$H$19+'3.ต้นทุนวางท่อ'!$N$19)*H30</f>
        <v>105.1425</v>
      </c>
      <c r="N30" s="736">
        <f t="shared" si="14"/>
        <v>3541.1040000000003</v>
      </c>
      <c r="O30" s="736">
        <f t="shared" si="18"/>
        <v>1340.64</v>
      </c>
      <c r="P30" s="730">
        <f>ROUND(F30*แหล่งวัสดุ!$V$32/1000+G30*แหล่งวัสดุ!$V$33/1000,2)</f>
        <v>357.37</v>
      </c>
      <c r="Q30" s="736">
        <f t="shared" si="15"/>
        <v>13900</v>
      </c>
      <c r="R30" s="1730">
        <f t="shared" si="16"/>
        <v>27800</v>
      </c>
      <c r="S30" s="534"/>
      <c r="T30" s="1754">
        <v>9</v>
      </c>
      <c r="U30" s="1755" t="s">
        <v>625</v>
      </c>
      <c r="X30" s="1754">
        <v>9</v>
      </c>
      <c r="Y30" s="1755">
        <v>9</v>
      </c>
      <c r="Z30" s="268"/>
      <c r="AA30" s="1766">
        <v>9</v>
      </c>
      <c r="AB30" s="737" t="s">
        <v>1661</v>
      </c>
      <c r="AC30" s="725"/>
      <c r="AD30" s="725"/>
      <c r="AE30" s="738"/>
      <c r="AF30" s="738"/>
      <c r="AG30" s="738"/>
      <c r="AH30" s="1822"/>
      <c r="AI30"/>
      <c r="AJ30" s="739">
        <f t="shared" si="11"/>
        <v>27</v>
      </c>
      <c r="AK30" s="1605" t="s">
        <v>1343</v>
      </c>
      <c r="AL30" s="1606">
        <v>15120</v>
      </c>
      <c r="AM30" s="1606">
        <v>15120</v>
      </c>
      <c r="AN30" s="1606">
        <v>15120</v>
      </c>
      <c r="AO30"/>
      <c r="AP30"/>
      <c r="AQ30" s="1881">
        <v>2</v>
      </c>
      <c r="AR30" s="1800" t="s">
        <v>303</v>
      </c>
      <c r="AS30" s="1453"/>
      <c r="AT30" s="722"/>
      <c r="AU30" s="723"/>
      <c r="AY30" s="1396">
        <v>2</v>
      </c>
      <c r="AZ30" s="730">
        <v>0.5</v>
      </c>
      <c r="BA30" s="730">
        <v>0.5</v>
      </c>
      <c r="BB30" s="268"/>
      <c r="BC30" s="268"/>
      <c r="BE30" s="1811"/>
      <c r="BF30" s="2830"/>
      <c r="BG30" s="2831"/>
      <c r="BT30" s="537"/>
    </row>
    <row r="31" spans="1:81" s="269" customFormat="1" ht="24.75" thickBot="1">
      <c r="A31" s="1722">
        <f t="shared" si="17"/>
        <v>9</v>
      </c>
      <c r="B31" s="1787" t="s">
        <v>1887</v>
      </c>
      <c r="C31" s="1788"/>
      <c r="D31" s="1799"/>
      <c r="E31" s="1729">
        <f>+'NO DELETE'!T68</f>
        <v>3.8639999999999999</v>
      </c>
      <c r="F31" s="731">
        <f>+'NO DELETE'!AA87</f>
        <v>85.685299999999998</v>
      </c>
      <c r="G31" s="731">
        <f>+'NO DELETE'!AB87</f>
        <v>16.693999999999999</v>
      </c>
      <c r="H31" s="1639">
        <f t="shared" si="12"/>
        <v>2.56</v>
      </c>
      <c r="I31" s="1639">
        <f t="shared" si="19"/>
        <v>34.019999999999996</v>
      </c>
      <c r="J31" s="736">
        <f t="shared" si="13"/>
        <v>8183.9519999999993</v>
      </c>
      <c r="K31" s="736">
        <f>F31*('3.ต้นทุนวางท่อ'!$H$17+'3.ต้นทุนวางท่อ'!$N$17*แหล่งวัสดุ!$U$69)/1000</f>
        <v>1654.6508343869998</v>
      </c>
      <c r="L31" s="736">
        <f>G31*('3.ต้นทุนวางท่อ'!$H$18+'3.ต้นทุนวางท่อ'!$N$18*แหล่งวัสดุ!$U$69)/1000</f>
        <v>319.39077658000002</v>
      </c>
      <c r="M31" s="736">
        <f>+('3.ต้นทุนวางท่อ'!$H$19+'3.ต้นทุนวางท่อ'!$N$19)*H31</f>
        <v>119.6288</v>
      </c>
      <c r="N31" s="736">
        <f t="shared" si="14"/>
        <v>11951.225999999999</v>
      </c>
      <c r="O31" s="736">
        <f t="shared" si="18"/>
        <v>4524.66</v>
      </c>
      <c r="P31" s="730">
        <f>ROUND(F31*แหล่งวัสดุ!$V$32/1000+G31*แหล่งวัสดุ!$V$33/1000,2)</f>
        <v>406.4</v>
      </c>
      <c r="Q31" s="736">
        <f t="shared" si="15"/>
        <v>27150</v>
      </c>
      <c r="R31" s="1730">
        <f t="shared" si="16"/>
        <v>54300</v>
      </c>
      <c r="S31" s="534"/>
      <c r="T31" s="1754">
        <v>10</v>
      </c>
      <c r="U31" s="1755" t="s">
        <v>626</v>
      </c>
      <c r="X31" s="1754">
        <v>10</v>
      </c>
      <c r="Y31" s="1755">
        <v>10</v>
      </c>
      <c r="Z31" s="268"/>
      <c r="AA31" s="1766">
        <v>10</v>
      </c>
      <c r="AB31" s="737" t="s">
        <v>1741</v>
      </c>
      <c r="AC31" s="738"/>
      <c r="AD31" s="738"/>
      <c r="AE31" s="738"/>
      <c r="AF31" s="738"/>
      <c r="AG31" s="738"/>
      <c r="AH31" s="1822"/>
      <c r="AI31"/>
      <c r="AJ31" s="725"/>
      <c r="AK31" s="725"/>
      <c r="AL31" s="725"/>
      <c r="AM31" s="725"/>
      <c r="AN31" s="725"/>
      <c r="AO31"/>
      <c r="AP31"/>
      <c r="AQ31" s="171"/>
      <c r="AR31" s="737" t="s">
        <v>1802</v>
      </c>
      <c r="AS31" s="725"/>
      <c r="AT31" s="725"/>
      <c r="AU31" s="726"/>
      <c r="AY31" s="2843" t="s">
        <v>1690</v>
      </c>
      <c r="AZ31" s="2843"/>
      <c r="BA31" s="268"/>
      <c r="BB31" s="2843" t="s">
        <v>1693</v>
      </c>
      <c r="BC31" s="2843"/>
      <c r="BE31" s="1812">
        <v>1</v>
      </c>
      <c r="BF31" s="2832" t="str">
        <f>+VLOOKUP(BE31,BE28:BG29,2)</f>
        <v>พื้นทางเดิมลูกรัง</v>
      </c>
      <c r="BG31" s="2833"/>
      <c r="BT31" s="537"/>
    </row>
    <row r="32" spans="1:81" s="269" customFormat="1" ht="24.75" thickBot="1">
      <c r="A32" s="1722">
        <f t="shared" si="17"/>
        <v>10</v>
      </c>
      <c r="B32" s="1787" t="s">
        <v>1888</v>
      </c>
      <c r="C32" s="1788"/>
      <c r="D32" s="1799"/>
      <c r="E32" s="1729">
        <f>+'NO DELETE'!T71</f>
        <v>4.9250000000000007</v>
      </c>
      <c r="F32" s="731">
        <f>+'NO DELETE'!AA90</f>
        <v>106.1298</v>
      </c>
      <c r="G32" s="731">
        <f>+'NO DELETE'!AB90</f>
        <v>19.713999999999999</v>
      </c>
      <c r="H32" s="1639">
        <f t="shared" si="12"/>
        <v>3.15</v>
      </c>
      <c r="I32" s="1639">
        <f t="shared" si="19"/>
        <v>114.82499999999999</v>
      </c>
      <c r="J32" s="736">
        <f t="shared" si="13"/>
        <v>10431.150000000001</v>
      </c>
      <c r="K32" s="736">
        <f>F32*('3.ต้นทุนวางท่อ'!$H$17+'3.ต้นทุนวางท่อ'!$N$17*แหล่งวัสดุ!$U$69)/1000</f>
        <v>2049.4502805419997</v>
      </c>
      <c r="L32" s="736">
        <f>G32*('3.ต้นทุนวางท่อ'!$H$18+'3.ต้นทุนวางท่อ'!$N$18*แหล่งวัสดุ!$U$69)/1000</f>
        <v>377.16962797999997</v>
      </c>
      <c r="M32" s="736">
        <f>+('3.ต้นทุนวางท่อ'!$H$19+'3.ต้นทุนวางท่อ'!$N$19)*H32</f>
        <v>147.19949999999997</v>
      </c>
      <c r="N32" s="736">
        <f t="shared" si="14"/>
        <v>40338.022499999999</v>
      </c>
      <c r="O32" s="736">
        <f t="shared" si="18"/>
        <v>15271.73</v>
      </c>
      <c r="P32" s="730">
        <f>ROUND(F32*แหล่งวัสดุ!$V$32/1000+G32*แหล่งวัสดุ!$V$33/1000,2)</f>
        <v>500.19</v>
      </c>
      <c r="Q32" s="736">
        <f t="shared" si="15"/>
        <v>69110</v>
      </c>
      <c r="R32" s="1730">
        <f t="shared" si="16"/>
        <v>138220</v>
      </c>
      <c r="S32" s="534"/>
      <c r="T32" s="1754">
        <v>11</v>
      </c>
      <c r="U32" s="1755" t="s">
        <v>627</v>
      </c>
      <c r="X32" s="1754">
        <v>11</v>
      </c>
      <c r="Y32" s="1755">
        <v>11</v>
      </c>
      <c r="AA32" s="1845">
        <v>11</v>
      </c>
      <c r="AB32" s="1824" t="s">
        <v>1742</v>
      </c>
      <c r="AC32" s="1211"/>
      <c r="AD32" s="1211"/>
      <c r="AE32" s="1211"/>
      <c r="AF32" s="1211"/>
      <c r="AG32" s="1211"/>
      <c r="AH32" s="1269"/>
      <c r="AI32"/>
      <c r="AJ32" s="1069">
        <v>1</v>
      </c>
      <c r="AK32" s="1594" t="s">
        <v>1344</v>
      </c>
      <c r="AL32" s="1065">
        <v>20780</v>
      </c>
      <c r="AM32" s="1065">
        <v>20780</v>
      </c>
      <c r="AN32" s="1065">
        <v>20780</v>
      </c>
      <c r="AO32"/>
      <c r="AP32"/>
      <c r="AQ32" s="171"/>
      <c r="AR32" s="737" t="s">
        <v>1897</v>
      </c>
      <c r="AS32" s="725"/>
      <c r="AT32" s="725"/>
      <c r="AU32" s="726"/>
      <c r="AY32" s="2849" t="s">
        <v>1694</v>
      </c>
      <c r="AZ32" s="2849"/>
      <c r="BB32" s="2849" t="s">
        <v>1694</v>
      </c>
      <c r="BC32" s="2849"/>
      <c r="BT32" s="537"/>
    </row>
    <row r="33" spans="1:72" s="269" customFormat="1" ht="24.75" thickBot="1">
      <c r="A33" s="1722">
        <f t="shared" si="17"/>
        <v>11</v>
      </c>
      <c r="B33" s="1787" t="s">
        <v>1889</v>
      </c>
      <c r="C33" s="1788"/>
      <c r="D33" s="1799"/>
      <c r="E33" s="1729">
        <f>+'NO DELETE'!T60</f>
        <v>2.7679999999999998</v>
      </c>
      <c r="F33" s="731">
        <f>+'NO DELETE'!AA79</f>
        <v>44.215000000000003</v>
      </c>
      <c r="G33" s="731">
        <f>+'NO DELETE'!AB79</f>
        <v>14.385999999999999</v>
      </c>
      <c r="H33" s="1639">
        <f t="shared" si="12"/>
        <v>1.47</v>
      </c>
      <c r="I33" s="1639">
        <f t="shared" si="19"/>
        <v>1.3275000000000001</v>
      </c>
      <c r="J33" s="736">
        <f t="shared" si="13"/>
        <v>5862.6239999999998</v>
      </c>
      <c r="K33" s="736">
        <f>F33*('3.ต้นทุนวางท่อ'!$H$17+'3.ต้นทุนวางท่อ'!$N$17*แหล่งวัสดุ!$U$69)/1000</f>
        <v>853.82657985000003</v>
      </c>
      <c r="L33" s="736">
        <f>G33*('3.ต้นทุนวางท่อ'!$H$18+'3.ต้นทุนวางท่อ'!$N$18*แหล่งวัสดุ!$U$69)/1000</f>
        <v>275.23395901999999</v>
      </c>
      <c r="M33" s="736">
        <f>+('3.ต้นทุนวางท่อ'!$H$19+'3.ต้นทุนวางท่อ'!$N$19)*H33</f>
        <v>68.693100000000001</v>
      </c>
      <c r="N33" s="736">
        <f t="shared" si="14"/>
        <v>466.35075000000006</v>
      </c>
      <c r="O33" s="736">
        <f t="shared" si="18"/>
        <v>176.56</v>
      </c>
      <c r="P33" s="730">
        <f>ROUND(F33*แหล่งวัสดุ!$V$32/1000+G33*แหล่งวัสดุ!$V$33/1000,2)</f>
        <v>228.76</v>
      </c>
      <c r="Q33" s="736">
        <f t="shared" si="15"/>
        <v>7930</v>
      </c>
      <c r="R33" s="1730">
        <f t="shared" si="16"/>
        <v>15860</v>
      </c>
      <c r="S33" s="534"/>
      <c r="T33" s="1756">
        <v>12</v>
      </c>
      <c r="U33" s="1757" t="s">
        <v>628</v>
      </c>
      <c r="X33" s="1754">
        <v>12</v>
      </c>
      <c r="Y33" s="1755">
        <v>12</v>
      </c>
      <c r="Z33" s="268"/>
      <c r="AA33" s="1845">
        <v>12</v>
      </c>
      <c r="AB33" s="1824"/>
      <c r="AC33" s="1211"/>
      <c r="AD33" s="1211"/>
      <c r="AE33" s="1211"/>
      <c r="AF33" s="1211"/>
      <c r="AG33" s="1211"/>
      <c r="AH33" s="1269"/>
      <c r="AI33"/>
      <c r="AJ33" s="744">
        <f t="shared" ref="AJ33:AJ61" si="20">+AJ32+1</f>
        <v>2</v>
      </c>
      <c r="AK33" s="1064" t="s">
        <v>1345</v>
      </c>
      <c r="AL33" s="1067">
        <v>25800</v>
      </c>
      <c r="AM33" s="1067">
        <v>25800</v>
      </c>
      <c r="AN33" s="1067">
        <v>25800</v>
      </c>
      <c r="AO33"/>
      <c r="AP33"/>
      <c r="AQ33" s="171"/>
      <c r="AR33" s="206" t="s">
        <v>34</v>
      </c>
      <c r="AS33" s="725"/>
      <c r="AT33" s="725"/>
      <c r="AU33" s="726"/>
      <c r="AY33" s="734">
        <v>1</v>
      </c>
      <c r="AZ33" s="730">
        <v>0.1</v>
      </c>
      <c r="BB33" s="734">
        <v>1</v>
      </c>
      <c r="BC33" s="730">
        <v>0.1</v>
      </c>
      <c r="BT33" s="537"/>
    </row>
    <row r="34" spans="1:72" s="269" customFormat="1" ht="24.75" thickBot="1">
      <c r="A34" s="1722">
        <f t="shared" si="17"/>
        <v>12</v>
      </c>
      <c r="B34" s="1787" t="s">
        <v>1890</v>
      </c>
      <c r="C34" s="1788"/>
      <c r="D34" s="1799"/>
      <c r="E34" s="1729">
        <f>+'NO DELETE'!T63</f>
        <v>3.6220000000000003</v>
      </c>
      <c r="F34" s="731">
        <f>+'NO DELETE'!AA82</f>
        <v>86.031700000000001</v>
      </c>
      <c r="G34" s="731">
        <f>+'NO DELETE'!AB82</f>
        <v>17.652999999999999</v>
      </c>
      <c r="H34" s="1639">
        <f t="shared" si="12"/>
        <v>2.59</v>
      </c>
      <c r="I34" s="1639">
        <f t="shared" si="19"/>
        <v>4.4775</v>
      </c>
      <c r="J34" s="736">
        <f t="shared" si="13"/>
        <v>7671.3960000000006</v>
      </c>
      <c r="K34" s="736">
        <f>F34*('3.ต้นทุนวางท่อ'!$H$17+'3.ต้นทุนวางท่อ'!$N$17*แหล่งวัสดุ!$U$69)/1000</f>
        <v>1661.3400920429999</v>
      </c>
      <c r="L34" s="736">
        <f>G34*('3.ต้นทุนวางท่อ'!$H$18+'3.ต้นทุนวางท่อ'!$N$18*แหล่งวัสดุ!$U$69)/1000</f>
        <v>337.73843170999999</v>
      </c>
      <c r="M34" s="736">
        <f>+('3.ต้นทุนวางท่อ'!$H$19+'3.ต้นทุนวางท่อ'!$N$19)*H34</f>
        <v>121.03069999999998</v>
      </c>
      <c r="N34" s="736">
        <f t="shared" si="14"/>
        <v>1572.9457500000001</v>
      </c>
      <c r="O34" s="736">
        <f t="shared" si="18"/>
        <v>595.51</v>
      </c>
      <c r="P34" s="730">
        <f>ROUND(F34*แหล่งวัสดุ!$V$32/1000+G34*แหล่งวัสดุ!$V$33/1000,2)</f>
        <v>410.98</v>
      </c>
      <c r="Q34" s="736">
        <f t="shared" si="15"/>
        <v>12370</v>
      </c>
      <c r="R34" s="1730">
        <f t="shared" si="16"/>
        <v>24740</v>
      </c>
      <c r="T34" s="1758">
        <v>11</v>
      </c>
      <c r="U34" s="1759" t="str">
        <f>+VLOOKUP(T34,T22:U33,2)</f>
        <v>พฤศจิกายน</v>
      </c>
      <c r="X34" s="1754">
        <v>13</v>
      </c>
      <c r="Y34" s="1755">
        <v>13</v>
      </c>
      <c r="Z34" s="268"/>
      <c r="AA34" s="1779">
        <v>1</v>
      </c>
      <c r="AB34" s="1846" t="str">
        <f>+VLOOKUP(AA34,AA22:AB33,2)</f>
        <v xml:space="preserve">ซ่อมสร้างผิวทาง Asphaltic Concrete </v>
      </c>
      <c r="AC34" s="1847"/>
      <c r="AD34" s="1847"/>
      <c r="AE34" s="1847"/>
      <c r="AF34" s="1848"/>
      <c r="AG34" s="1848"/>
      <c r="AH34" s="1849"/>
      <c r="AI34"/>
      <c r="AJ34" s="744">
        <f t="shared" si="20"/>
        <v>3</v>
      </c>
      <c r="AK34" s="1064" t="s">
        <v>1339</v>
      </c>
      <c r="AL34" s="1067">
        <v>8910</v>
      </c>
      <c r="AM34" s="1067">
        <v>8910</v>
      </c>
      <c r="AN34" s="1067">
        <v>8910</v>
      </c>
      <c r="AO34"/>
      <c r="AP34"/>
      <c r="AQ34" s="171"/>
      <c r="AR34" s="206" t="s">
        <v>1804</v>
      </c>
      <c r="AS34" s="738"/>
      <c r="AT34" s="725"/>
      <c r="AU34" s="726"/>
      <c r="AY34" s="734">
        <v>2</v>
      </c>
      <c r="AZ34" s="730">
        <v>0.15</v>
      </c>
      <c r="BB34" s="734">
        <v>2</v>
      </c>
      <c r="BC34" s="730">
        <v>0.15</v>
      </c>
      <c r="BT34" s="537"/>
    </row>
    <row r="35" spans="1:72" s="269" customFormat="1" ht="24">
      <c r="A35" s="1722">
        <f t="shared" si="17"/>
        <v>13</v>
      </c>
      <c r="B35" s="1787" t="s">
        <v>1891</v>
      </c>
      <c r="C35" s="1788"/>
      <c r="D35" s="1799"/>
      <c r="E35" s="1729">
        <f>+'NO DELETE'!T66</f>
        <v>4.5309999999999997</v>
      </c>
      <c r="F35" s="731">
        <f>+'NO DELETE'!AA85</f>
        <v>103.6891</v>
      </c>
      <c r="G35" s="731">
        <f>+'NO DELETE'!AB85</f>
        <v>20.815000000000001</v>
      </c>
      <c r="H35" s="1639">
        <f t="shared" si="12"/>
        <v>3.11</v>
      </c>
      <c r="I35" s="1639">
        <f t="shared" si="19"/>
        <v>15.120000000000001</v>
      </c>
      <c r="J35" s="736">
        <f t="shared" si="13"/>
        <v>9596.6579999999994</v>
      </c>
      <c r="K35" s="736">
        <f>F35*('3.ต้นทุนวางท่อ'!$H$17+'3.ต้นทุนวางท่อ'!$N$17*แหล่งวัสดุ!$U$69)/1000</f>
        <v>2002.3184353889994</v>
      </c>
      <c r="L35" s="736">
        <f>G35*('3.ต้นทุนวางท่อ'!$H$18+'3.ต้นทุนวางท่อ'!$N$18*แหล่งวัสดุ!$U$69)/1000</f>
        <v>398.23403705000004</v>
      </c>
      <c r="M35" s="736">
        <f>+('3.ต้นทุนวางท่อ'!$H$19+'3.ต้นทุนวางท่อ'!$N$19)*H35</f>
        <v>145.33029999999999</v>
      </c>
      <c r="N35" s="736">
        <f t="shared" si="14"/>
        <v>5311.6560000000009</v>
      </c>
      <c r="O35" s="736">
        <f t="shared" si="18"/>
        <v>2010.96</v>
      </c>
      <c r="P35" s="730">
        <f>ROUND(F35*แหล่งวัสดุ!$V$32/1000+G35*แหล่งวัสดุ!$V$33/1000,2)</f>
        <v>493.81</v>
      </c>
      <c r="Q35" s="736">
        <f t="shared" si="15"/>
        <v>19950</v>
      </c>
      <c r="R35" s="1730">
        <f t="shared" si="16"/>
        <v>39900</v>
      </c>
      <c r="S35" s="534"/>
      <c r="X35" s="1754">
        <v>14</v>
      </c>
      <c r="Y35" s="1755">
        <v>14</v>
      </c>
      <c r="Z35" s="268"/>
      <c r="AD35" s="268"/>
      <c r="AE35" s="1070" t="s">
        <v>1363</v>
      </c>
      <c r="AF35" s="1071"/>
      <c r="AG35" s="1114"/>
      <c r="AH35" s="1074">
        <v>1</v>
      </c>
      <c r="AI35"/>
      <c r="AJ35" s="744">
        <f t="shared" si="20"/>
        <v>4</v>
      </c>
      <c r="AK35" s="1064" t="s">
        <v>1340</v>
      </c>
      <c r="AL35" s="1067">
        <v>13660</v>
      </c>
      <c r="AM35" s="1067">
        <v>13660</v>
      </c>
      <c r="AN35" s="1067">
        <v>13660</v>
      </c>
      <c r="AO35"/>
      <c r="AP35"/>
      <c r="AQ35" s="171"/>
      <c r="AR35" s="206" t="s">
        <v>1898</v>
      </c>
      <c r="AS35" s="738"/>
      <c r="AT35" s="725"/>
      <c r="AU35" s="726"/>
      <c r="AY35" s="734">
        <v>3</v>
      </c>
      <c r="AZ35" s="730">
        <v>0.2</v>
      </c>
      <c r="BB35" s="734">
        <v>3</v>
      </c>
      <c r="BC35" s="730">
        <v>0.2</v>
      </c>
      <c r="BT35" s="537"/>
    </row>
    <row r="36" spans="1:72" s="269" customFormat="1" ht="24">
      <c r="A36" s="1722">
        <f t="shared" si="17"/>
        <v>14</v>
      </c>
      <c r="B36" s="1787" t="s">
        <v>1892</v>
      </c>
      <c r="C36" s="1788"/>
      <c r="D36" s="1799"/>
      <c r="E36" s="1729">
        <f>+'NO DELETE'!T69</f>
        <v>5.5170000000000003</v>
      </c>
      <c r="F36" s="731">
        <f>+'NO DELETE'!AA88</f>
        <v>123.87179999999999</v>
      </c>
      <c r="G36" s="731">
        <f>+'NO DELETE'!AB88</f>
        <v>23.975999999999999</v>
      </c>
      <c r="H36" s="1639">
        <f t="shared" si="12"/>
        <v>3.7</v>
      </c>
      <c r="I36" s="1639">
        <f t="shared" si="19"/>
        <v>51.029999999999994</v>
      </c>
      <c r="J36" s="736">
        <f t="shared" si="13"/>
        <v>11685.006000000001</v>
      </c>
      <c r="K36" s="736">
        <f>F36*('3.ต้นทุนวางท่อ'!$H$17+'3.ต้นทุนวางท่อ'!$N$17*แหล่งวัสดุ!$U$69)/1000</f>
        <v>2392.0623167219997</v>
      </c>
      <c r="L36" s="736">
        <f>G36*('3.ต้นทุนวางท่อ'!$H$18+'3.ต้นทุนวางท่อ'!$N$18*แหล่งวัสดุ!$U$69)/1000</f>
        <v>458.71051032000003</v>
      </c>
      <c r="M36" s="736">
        <f>+('3.ต้นทุนวางท่อ'!$H$19+'3.ต้นทุนวางท่อ'!$N$19)*H36</f>
        <v>172.90100000000001</v>
      </c>
      <c r="N36" s="736">
        <f t="shared" si="14"/>
        <v>17926.839</v>
      </c>
      <c r="O36" s="736">
        <f t="shared" si="18"/>
        <v>6786.99</v>
      </c>
      <c r="P36" s="730">
        <f>ROUND(F36*แหล่งวัสดุ!$V$32/1000+G36*แหล่งวัสดุ!$V$33/1000,2)</f>
        <v>587</v>
      </c>
      <c r="Q36" s="736">
        <f t="shared" si="15"/>
        <v>40000</v>
      </c>
      <c r="R36" s="1730">
        <f t="shared" si="16"/>
        <v>80000</v>
      </c>
      <c r="S36" s="534"/>
      <c r="X36" s="1754">
        <v>15</v>
      </c>
      <c r="Y36" s="1755">
        <v>15</v>
      </c>
      <c r="Z36" s="268"/>
      <c r="AD36" s="268"/>
      <c r="AE36" s="1076" t="s">
        <v>1364</v>
      </c>
      <c r="AF36" s="261"/>
      <c r="AG36" s="1175"/>
      <c r="AI36"/>
      <c r="AJ36" s="744">
        <f t="shared" si="20"/>
        <v>5</v>
      </c>
      <c r="AK36" s="1064" t="s">
        <v>1341</v>
      </c>
      <c r="AL36" s="1067">
        <v>18590</v>
      </c>
      <c r="AM36" s="1067">
        <v>18590</v>
      </c>
      <c r="AN36" s="1067">
        <v>18590</v>
      </c>
      <c r="AO36"/>
      <c r="AP36"/>
      <c r="AQ36"/>
      <c r="AR36" s="206" t="s">
        <v>35</v>
      </c>
      <c r="AS36" s="738"/>
      <c r="AT36" s="725"/>
      <c r="AU36" s="726"/>
      <c r="AY36" s="734">
        <v>4</v>
      </c>
      <c r="AZ36" s="730">
        <v>0.25</v>
      </c>
      <c r="BB36" s="734">
        <v>4</v>
      </c>
      <c r="BC36" s="730">
        <v>0.25</v>
      </c>
      <c r="BT36" s="537"/>
    </row>
    <row r="37" spans="1:72" s="269" customFormat="1" ht="24.75" thickBot="1">
      <c r="A37" s="1723">
        <f t="shared" si="17"/>
        <v>15</v>
      </c>
      <c r="B37" s="1789" t="s">
        <v>1893</v>
      </c>
      <c r="C37" s="1790"/>
      <c r="D37" s="1793"/>
      <c r="E37" s="1731">
        <f>+'NO DELETE'!T72</f>
        <v>7.157</v>
      </c>
      <c r="F37" s="1732">
        <f>+'NO DELETE'!AA91</f>
        <v>157.84030000000001</v>
      </c>
      <c r="G37" s="1732">
        <f>+'NO DELETE'!AB91</f>
        <v>28.771000000000001</v>
      </c>
      <c r="H37" s="1733">
        <f t="shared" si="12"/>
        <v>4.67</v>
      </c>
      <c r="I37" s="1733">
        <f t="shared" si="19"/>
        <v>172.23749999999998</v>
      </c>
      <c r="J37" s="1734">
        <f t="shared" si="13"/>
        <v>15158.526</v>
      </c>
      <c r="K37" s="1734">
        <f>F37*('3.ต้นทุนวางท่อ'!$H$17+'3.ต้นทุนวางท่อ'!$N$17*แหล่งวัสดุ!$U$69)/1000</f>
        <v>3048.020886837</v>
      </c>
      <c r="L37" s="1734">
        <f>G37*('3.ต้นทุนวางท่อ'!$H$18+'3.ต้นทุนวางท่อ'!$N$18*แหล่งวัสดุ!$U$69)/1000</f>
        <v>550.44878597000002</v>
      </c>
      <c r="M37" s="1734">
        <f>+('3.ต้นทุนวางท่อ'!$H$19+'3.ต้นทุนวางท่อ'!$N$19)*H37</f>
        <v>218.22909999999999</v>
      </c>
      <c r="N37" s="1734">
        <f t="shared" si="14"/>
        <v>60507.033749999995</v>
      </c>
      <c r="O37" s="1734">
        <f t="shared" si="18"/>
        <v>22907.59</v>
      </c>
      <c r="P37" s="1735">
        <f>ROUND(F37*แหล่งวัสดุ!$V$32/1000+G37*แหล่งวัสดุ!$V$33/1000,2)</f>
        <v>742.09</v>
      </c>
      <c r="Q37" s="1734">
        <f t="shared" si="15"/>
        <v>103130</v>
      </c>
      <c r="R37" s="1736">
        <f t="shared" si="16"/>
        <v>206260</v>
      </c>
      <c r="S37" s="534"/>
      <c r="U37" s="518"/>
      <c r="V37" s="518"/>
      <c r="X37" s="1754">
        <v>16</v>
      </c>
      <c r="Y37" s="1755">
        <v>16</v>
      </c>
      <c r="Z37" s="268"/>
      <c r="AD37" s="268"/>
      <c r="AE37" s="1072" t="s">
        <v>1365</v>
      </c>
      <c r="AF37" s="1073"/>
      <c r="AG37" s="1176"/>
      <c r="AI37"/>
      <c r="AJ37" s="744">
        <f t="shared" si="20"/>
        <v>6</v>
      </c>
      <c r="AK37" s="1064" t="s">
        <v>1226</v>
      </c>
      <c r="AL37" s="1067">
        <v>9640</v>
      </c>
      <c r="AM37" s="1067">
        <v>9640</v>
      </c>
      <c r="AN37" s="1067">
        <v>9640</v>
      </c>
      <c r="AO37"/>
      <c r="AP37"/>
      <c r="AR37" s="206" t="s">
        <v>1805</v>
      </c>
      <c r="AS37" s="738"/>
      <c r="AT37" s="725"/>
      <c r="AU37" s="726"/>
      <c r="AY37" s="734">
        <v>5</v>
      </c>
      <c r="AZ37" s="730">
        <v>0.3</v>
      </c>
      <c r="BB37" s="734">
        <v>5</v>
      </c>
      <c r="BC37" s="730">
        <v>0.3</v>
      </c>
      <c r="BL37"/>
      <c r="BM37"/>
      <c r="BN37"/>
      <c r="BT37" s="537"/>
    </row>
    <row r="38" spans="1:72" s="269" customFormat="1" ht="22.5" thickBot="1">
      <c r="S38" s="534"/>
      <c r="X38" s="1754">
        <v>17</v>
      </c>
      <c r="Y38" s="1755">
        <v>17</v>
      </c>
      <c r="Z38" s="268"/>
      <c r="AD38" s="268"/>
      <c r="AG38"/>
      <c r="AH38"/>
      <c r="AI38"/>
      <c r="AJ38" s="744">
        <f t="shared" si="20"/>
        <v>7</v>
      </c>
      <c r="AK38" s="1064" t="s">
        <v>1227</v>
      </c>
      <c r="AL38" s="1067">
        <v>5740</v>
      </c>
      <c r="AM38" s="1067">
        <v>5740</v>
      </c>
      <c r="AN38" s="1067">
        <v>5740</v>
      </c>
      <c r="AO38"/>
      <c r="AP38"/>
      <c r="AR38" s="206" t="s">
        <v>1899</v>
      </c>
      <c r="AS38" s="738"/>
      <c r="AT38" s="725"/>
      <c r="AU38" s="726"/>
      <c r="AY38" s="734">
        <v>2</v>
      </c>
      <c r="AZ38" s="741">
        <f>+VLOOKUP(AY38,AY33:AZ37,2)</f>
        <v>0.15</v>
      </c>
      <c r="BB38" s="734">
        <v>2</v>
      </c>
      <c r="BC38" s="741">
        <f>+VLOOKUP(BB38,BB33:BC37,2)</f>
        <v>0.15</v>
      </c>
      <c r="BL38"/>
      <c r="BM38"/>
      <c r="BN38"/>
      <c r="BT38" s="537"/>
    </row>
    <row r="39" spans="1:72" s="269" customFormat="1" ht="22.5" thickBot="1">
      <c r="B39" s="748"/>
      <c r="C39" s="2933" t="s">
        <v>415</v>
      </c>
      <c r="D39" s="2934"/>
      <c r="E39" s="2934"/>
      <c r="F39" s="2934"/>
      <c r="G39" s="2935"/>
      <c r="H39" s="2936" t="s">
        <v>421</v>
      </c>
      <c r="I39" s="2937"/>
      <c r="J39" s="2937"/>
      <c r="K39" s="2937"/>
      <c r="L39" s="2937"/>
      <c r="M39" s="2937"/>
      <c r="N39" s="2937"/>
      <c r="O39" s="2938"/>
      <c r="S39" s="534"/>
      <c r="X39" s="1754">
        <v>18</v>
      </c>
      <c r="Y39" s="1755">
        <v>18</v>
      </c>
      <c r="Z39" s="268"/>
      <c r="AD39" s="268"/>
      <c r="AE39" s="1070" t="s">
        <v>1855</v>
      </c>
      <c r="AF39" s="1071"/>
      <c r="AG39" s="1628"/>
      <c r="AH39" s="1074">
        <v>1</v>
      </c>
      <c r="AI39"/>
      <c r="AJ39" s="744">
        <f t="shared" si="20"/>
        <v>8</v>
      </c>
      <c r="AK39" s="1064" t="s">
        <v>1228</v>
      </c>
      <c r="AL39" s="1067">
        <v>3640</v>
      </c>
      <c r="AM39" s="1067">
        <v>3640</v>
      </c>
      <c r="AN39" s="1067">
        <v>3640</v>
      </c>
      <c r="AO39"/>
      <c r="AP39"/>
      <c r="BL39"/>
      <c r="BM39"/>
      <c r="BN39"/>
      <c r="BT39" s="537"/>
    </row>
    <row r="40" spans="1:72" s="269" customFormat="1" ht="22.5" thickBot="1">
      <c r="B40" s="748"/>
      <c r="C40" s="2364" t="s">
        <v>417</v>
      </c>
      <c r="D40" s="2365" t="s">
        <v>416</v>
      </c>
      <c r="E40" s="2365" t="s">
        <v>418</v>
      </c>
      <c r="F40" s="2365" t="s">
        <v>419</v>
      </c>
      <c r="G40" s="2366" t="s">
        <v>420</v>
      </c>
      <c r="H40" s="2367">
        <v>6</v>
      </c>
      <c r="I40" s="2368">
        <v>2.5</v>
      </c>
      <c r="J40" s="2368">
        <v>2</v>
      </c>
      <c r="K40" s="2369" t="s">
        <v>2071</v>
      </c>
      <c r="L40" s="2366" t="s">
        <v>2072</v>
      </c>
      <c r="M40" s="1700" t="s">
        <v>435</v>
      </c>
      <c r="N40" s="1700" t="s">
        <v>423</v>
      </c>
      <c r="O40" s="1700" t="s">
        <v>427</v>
      </c>
      <c r="P40" s="1700" t="s">
        <v>2076</v>
      </c>
      <c r="S40" s="534"/>
      <c r="X40" s="1754">
        <v>19</v>
      </c>
      <c r="Y40" s="1755">
        <v>19</v>
      </c>
      <c r="Z40" s="268"/>
      <c r="AC40" s="268"/>
      <c r="AD40" s="268"/>
      <c r="AE40" s="1076" t="s">
        <v>1856</v>
      </c>
      <c r="AF40" s="261"/>
      <c r="AG40" s="1077"/>
      <c r="AI40"/>
      <c r="AJ40" s="744">
        <f t="shared" si="20"/>
        <v>9</v>
      </c>
      <c r="AK40" s="1064" t="s">
        <v>1319</v>
      </c>
      <c r="AL40" s="1067">
        <v>4410</v>
      </c>
      <c r="AM40" s="1067">
        <v>4410</v>
      </c>
      <c r="AN40" s="1067">
        <v>4410</v>
      </c>
      <c r="AO40"/>
      <c r="AP40"/>
      <c r="AZ40" s="2843" t="s">
        <v>1690</v>
      </c>
      <c r="BA40" s="2843"/>
      <c r="BB40" s="2843"/>
      <c r="BC40" s="2843"/>
      <c r="BE40" s="805" t="s">
        <v>2033</v>
      </c>
      <c r="BF40" s="2161" t="s">
        <v>2023</v>
      </c>
      <c r="BG40" s="2930" t="s">
        <v>2025</v>
      </c>
      <c r="BH40" s="2931"/>
      <c r="BI40" s="2931"/>
      <c r="BJ40" s="2931"/>
      <c r="BK40" s="2931"/>
      <c r="BL40" s="2931"/>
      <c r="BM40" s="2932"/>
      <c r="BN40"/>
      <c r="BT40" s="537"/>
    </row>
    <row r="41" spans="1:72" s="269" customFormat="1" ht="24">
      <c r="A41" s="1720">
        <v>1</v>
      </c>
      <c r="B41" s="2361" t="s">
        <v>1869</v>
      </c>
      <c r="C41" s="2370">
        <v>0.6</v>
      </c>
      <c r="D41" s="1701">
        <v>7.4999999999999997E-2</v>
      </c>
      <c r="E41" s="1701">
        <f>+ROUND(((22/7*(C41+D41+D41)^2)/4)-((22/7*C41^2)/4),3)</f>
        <v>0.159</v>
      </c>
      <c r="F41" s="1702">
        <f>+E41*2400</f>
        <v>381.6</v>
      </c>
      <c r="G41" s="1703">
        <f>+(C41+D41+D41)</f>
        <v>0.74999999999999989</v>
      </c>
      <c r="H41" s="1703">
        <v>7</v>
      </c>
      <c r="I41" s="1703">
        <f>+ROUNDDOWN($I$40/1,)</f>
        <v>2</v>
      </c>
      <c r="J41" s="1703">
        <f>+ROUNDUP($J$40/(C41+D41+D41),)</f>
        <v>3</v>
      </c>
      <c r="K41" s="2360">
        <f>IF(แหล่งวัสดุ!L$35=1,IF('3.ต้นทุนวางท่อ'!L24&lt;=200,VLOOKUP('3.ต้นทุนวางท่อ'!L24,'S2'!B$5:'S2'!F$204,2),IF('3.ต้นทุนวางท่อ'!L24&gt;200,('3.ต้นทุนวางท่อ'!L24-200)*'S2'!C$205+'S2'!C$204)),IF(แหล่งวัสดุ!L$35=2,IF('3.ต้นทุนวางท่อ'!L24&lt;=200,VLOOKUP('3.ต้นทุนวางท่อ'!L24,'S2'!B$5:'S2'!F$204,4),IF('3.ต้นทุนวางท่อ'!L24&gt;200,('3.ต้นทุนวางท่อ'!L24-200)*'S2'!E$205+'S2'!E$204))))</f>
        <v>90.82</v>
      </c>
      <c r="L41" s="2360">
        <v>24</v>
      </c>
      <c r="M41" s="2371">
        <f>+ROUND(K41*13+300,2)</f>
        <v>1480.66</v>
      </c>
      <c r="N41" s="2360">
        <f>+M41/L41</f>
        <v>61.694166666666668</v>
      </c>
      <c r="O41" s="1703">
        <v>345</v>
      </c>
      <c r="P41" s="1703"/>
      <c r="S41" s="534"/>
      <c r="X41" s="1754">
        <v>20</v>
      </c>
      <c r="Y41" s="1755">
        <v>20</v>
      </c>
      <c r="Z41" s="268"/>
      <c r="AC41" s="268"/>
      <c r="AD41" s="268"/>
      <c r="AE41" s="1072" t="s">
        <v>1857</v>
      </c>
      <c r="AF41" s="1073"/>
      <c r="AG41" s="1075"/>
      <c r="AI41"/>
      <c r="AJ41" s="744">
        <f t="shared" si="20"/>
        <v>10</v>
      </c>
      <c r="AK41" s="1064" t="s">
        <v>1320</v>
      </c>
      <c r="AL41" s="1067">
        <v>2620</v>
      </c>
      <c r="AM41" s="1067">
        <v>2620</v>
      </c>
      <c r="AN41" s="1067">
        <v>2620</v>
      </c>
      <c r="AO41"/>
      <c r="AP41"/>
      <c r="AZ41" s="1912" t="s">
        <v>605</v>
      </c>
      <c r="BA41" s="1911" t="s">
        <v>1696</v>
      </c>
      <c r="BB41" s="1911" t="s">
        <v>604</v>
      </c>
      <c r="BC41" s="1911" t="s">
        <v>1696</v>
      </c>
      <c r="BE41" s="2160" t="s">
        <v>2022</v>
      </c>
      <c r="BF41" s="2162" t="s">
        <v>2024</v>
      </c>
      <c r="BG41" s="2163" t="s">
        <v>2026</v>
      </c>
      <c r="BH41" s="2163" t="s">
        <v>2027</v>
      </c>
      <c r="BI41" s="2163" t="s">
        <v>2028</v>
      </c>
      <c r="BJ41" s="2163" t="s">
        <v>2029</v>
      </c>
      <c r="BK41" s="2163" t="s">
        <v>2030</v>
      </c>
      <c r="BL41" s="2163" t="s">
        <v>2031</v>
      </c>
      <c r="BM41" s="2163" t="s">
        <v>2032</v>
      </c>
      <c r="BN41"/>
      <c r="BT41" s="537"/>
    </row>
    <row r="42" spans="1:72" s="269" customFormat="1" ht="24">
      <c r="A42" s="1722">
        <f>A41+1</f>
        <v>2</v>
      </c>
      <c r="B42" s="2362" t="s">
        <v>1870</v>
      </c>
      <c r="C42" s="2370">
        <v>0.8</v>
      </c>
      <c r="D42" s="1701">
        <v>9.5000000000000001E-2</v>
      </c>
      <c r="E42" s="1701">
        <f>+ROUND(((22/7*(C42+D42+D42)^2)/4)-((22/7*C42^2)/4),3)</f>
        <v>0.26700000000000002</v>
      </c>
      <c r="F42" s="1702">
        <f>+E42*2400</f>
        <v>640.80000000000007</v>
      </c>
      <c r="G42" s="1703">
        <f>+(C42+D42+D42)</f>
        <v>0.99</v>
      </c>
      <c r="H42" s="1703">
        <v>5</v>
      </c>
      <c r="I42" s="1703">
        <f>+ROUNDDOWN($I$40/1,)</f>
        <v>2</v>
      </c>
      <c r="J42" s="1703">
        <f>+ROUNDUP($J$40/(C42+D42+D42),)</f>
        <v>3</v>
      </c>
      <c r="K42" s="2360">
        <f>+K41</f>
        <v>90.82</v>
      </c>
      <c r="L42" s="2360">
        <v>18</v>
      </c>
      <c r="M42" s="2371">
        <f t="shared" ref="M42:M45" si="21">+ROUND(K42*13+300,2)</f>
        <v>1480.66</v>
      </c>
      <c r="N42" s="2360">
        <f t="shared" ref="N42:N45" si="22">+M42/L42</f>
        <v>82.25888888888889</v>
      </c>
      <c r="O42" s="1703">
        <v>421</v>
      </c>
      <c r="P42" s="1703"/>
      <c r="R42" s="535"/>
      <c r="S42" s="534"/>
      <c r="X42" s="1754">
        <v>21</v>
      </c>
      <c r="Y42" s="1755">
        <v>21</v>
      </c>
      <c r="Z42" s="268"/>
      <c r="AC42" s="268"/>
      <c r="AD42" s="268"/>
      <c r="AE42" s="171"/>
      <c r="AF42"/>
      <c r="AG42"/>
      <c r="AH42"/>
      <c r="AI42"/>
      <c r="AJ42" s="744">
        <f t="shared" si="20"/>
        <v>11</v>
      </c>
      <c r="AK42" s="1064" t="s">
        <v>1321</v>
      </c>
      <c r="AL42" s="1067">
        <v>2750</v>
      </c>
      <c r="AM42" s="1067">
        <v>3160</v>
      </c>
      <c r="AN42" s="1067">
        <v>3550</v>
      </c>
      <c r="AO42"/>
      <c r="AP42"/>
      <c r="AQ42" s="1921">
        <v>1</v>
      </c>
      <c r="AR42" s="1919" t="s">
        <v>1896</v>
      </c>
      <c r="AS42" s="722"/>
      <c r="AT42" s="723"/>
      <c r="AY42" s="734">
        <v>1</v>
      </c>
      <c r="AZ42" s="730" t="s">
        <v>1697</v>
      </c>
      <c r="BA42" s="734">
        <v>12.57</v>
      </c>
      <c r="BB42" s="734">
        <f>ROUNDUP(1/$AZ$38,)</f>
        <v>7</v>
      </c>
      <c r="BC42" s="734">
        <f>+BB42*BA42</f>
        <v>87.990000000000009</v>
      </c>
      <c r="BE42" s="2164">
        <v>3.2</v>
      </c>
      <c r="BF42" s="2165">
        <v>6.3E-2</v>
      </c>
      <c r="BG42" s="2165">
        <v>1.264</v>
      </c>
      <c r="BH42" s="2165">
        <v>0.84199999999999997</v>
      </c>
      <c r="BI42" s="2165">
        <v>0.84199999999999997</v>
      </c>
      <c r="BJ42" s="2165">
        <v>0.63200000000000001</v>
      </c>
      <c r="BK42" s="2165">
        <v>0.63200000000000001</v>
      </c>
      <c r="BL42" s="2165">
        <v>0.505</v>
      </c>
      <c r="BM42" s="2165">
        <v>0.42099999999999999</v>
      </c>
      <c r="BN42"/>
      <c r="BT42" s="537"/>
    </row>
    <row r="43" spans="1:72" s="269" customFormat="1" ht="24">
      <c r="A43" s="1722">
        <f>A42+1</f>
        <v>3</v>
      </c>
      <c r="B43" s="2362" t="s">
        <v>1871</v>
      </c>
      <c r="C43" s="2370">
        <v>1</v>
      </c>
      <c r="D43" s="1701">
        <v>0.11</v>
      </c>
      <c r="E43" s="1701">
        <f>+ROUND(((22/7*(C43+D43+D43)^2)/4)-((22/7*C43^2)/4),3)</f>
        <v>0.38400000000000001</v>
      </c>
      <c r="F43" s="1702">
        <f>+E43*2400</f>
        <v>921.6</v>
      </c>
      <c r="G43" s="1703">
        <f>+(C43+D43+D43)</f>
        <v>1.2200000000000002</v>
      </c>
      <c r="H43" s="1703">
        <v>4</v>
      </c>
      <c r="I43" s="1703">
        <f>+ROUNDDOWN($I$40/1,)</f>
        <v>2</v>
      </c>
      <c r="J43" s="1703">
        <f>+ROUNDUP($J$40/(C43+D43+D43),)</f>
        <v>2</v>
      </c>
      <c r="K43" s="2360">
        <f>+K42</f>
        <v>90.82</v>
      </c>
      <c r="L43" s="2360">
        <v>10</v>
      </c>
      <c r="M43" s="2371">
        <f t="shared" si="21"/>
        <v>1480.66</v>
      </c>
      <c r="N43" s="2360">
        <f t="shared" si="22"/>
        <v>148.066</v>
      </c>
      <c r="O43" s="1703">
        <v>510</v>
      </c>
      <c r="P43" s="1703"/>
      <c r="S43" s="268"/>
      <c r="X43" s="1754">
        <v>22</v>
      </c>
      <c r="Y43" s="1755">
        <v>22</v>
      </c>
      <c r="AF43"/>
      <c r="AG43"/>
      <c r="AH43"/>
      <c r="AI43"/>
      <c r="AJ43" s="744">
        <f t="shared" si="20"/>
        <v>12</v>
      </c>
      <c r="AK43" s="1064" t="s">
        <v>1229</v>
      </c>
      <c r="AL43" s="1067">
        <v>3990</v>
      </c>
      <c r="AM43" s="1067">
        <v>5230</v>
      </c>
      <c r="AN43" s="1067">
        <v>6550</v>
      </c>
      <c r="AO43"/>
      <c r="AP43"/>
      <c r="AQ43" s="1920">
        <v>2</v>
      </c>
      <c r="AR43" s="1922" t="s">
        <v>1802</v>
      </c>
      <c r="AS43" s="725"/>
      <c r="AT43" s="726"/>
      <c r="AY43" s="734">
        <v>2</v>
      </c>
      <c r="AZ43" s="730" t="s">
        <v>1698</v>
      </c>
      <c r="BA43" s="734">
        <v>19.63</v>
      </c>
      <c r="BB43" s="2157">
        <f t="shared" ref="BB43:BB44" si="23">ROUNDUP(1/$AZ$38,)</f>
        <v>7</v>
      </c>
      <c r="BC43" s="734">
        <f>+BB43*BA43</f>
        <v>137.41</v>
      </c>
      <c r="BE43" s="2166">
        <v>3.3</v>
      </c>
      <c r="BF43" s="2167">
        <v>6.7000000000000004E-2</v>
      </c>
      <c r="BG43" s="2168">
        <v>1.3440000000000001</v>
      </c>
      <c r="BH43" s="2168">
        <v>0.89600000000000002</v>
      </c>
      <c r="BI43" s="2168">
        <v>0.89600000000000002</v>
      </c>
      <c r="BJ43" s="2168">
        <v>0.67200000000000004</v>
      </c>
      <c r="BK43" s="2168">
        <v>0.67200000000000004</v>
      </c>
      <c r="BL43" s="2168">
        <v>0.53800000000000003</v>
      </c>
      <c r="BM43" s="2168">
        <v>0.44800000000000001</v>
      </c>
      <c r="BT43" s="537"/>
    </row>
    <row r="44" spans="1:72" s="269" customFormat="1" ht="22.5" customHeight="1">
      <c r="A44" s="1722">
        <f>A43+1</f>
        <v>4</v>
      </c>
      <c r="B44" s="2362" t="s">
        <v>1872</v>
      </c>
      <c r="C44" s="2370">
        <v>1.2</v>
      </c>
      <c r="D44" s="1701">
        <v>0.125</v>
      </c>
      <c r="E44" s="1701">
        <f>+ROUND(((22/7*(C44+D44+D44)^2)/4)-((22/7*C44^2)/4),3)</f>
        <v>0.52100000000000002</v>
      </c>
      <c r="F44" s="1702">
        <f>+E44*2400</f>
        <v>1250.4000000000001</v>
      </c>
      <c r="G44" s="1703">
        <f>+(C44+D44+D44)</f>
        <v>1.45</v>
      </c>
      <c r="H44" s="1703">
        <v>4</v>
      </c>
      <c r="I44" s="1703">
        <f>+ROUNDDOWN($I$40/1,)</f>
        <v>2</v>
      </c>
      <c r="J44" s="1703">
        <f>+ROUNDUP($J$40/(C44+D44+D44),)</f>
        <v>2</v>
      </c>
      <c r="K44" s="2360">
        <f>+K43</f>
        <v>90.82</v>
      </c>
      <c r="L44" s="2360">
        <v>8</v>
      </c>
      <c r="M44" s="2371">
        <f t="shared" si="21"/>
        <v>1480.66</v>
      </c>
      <c r="N44" s="2360">
        <f t="shared" si="22"/>
        <v>185.08250000000001</v>
      </c>
      <c r="O44" s="1703">
        <v>575</v>
      </c>
      <c r="P44" s="1703"/>
      <c r="X44" s="1754">
        <v>23</v>
      </c>
      <c r="Y44" s="1755">
        <v>23</v>
      </c>
      <c r="AA44" s="2861" t="s">
        <v>1358</v>
      </c>
      <c r="AB44" s="2862"/>
      <c r="AD44" s="1873">
        <v>1</v>
      </c>
      <c r="AE44" s="1902" t="s">
        <v>1354</v>
      </c>
      <c r="AF44"/>
      <c r="AG44"/>
      <c r="AH44"/>
      <c r="AI44"/>
      <c r="AJ44" s="744">
        <f t="shared" si="20"/>
        <v>13</v>
      </c>
      <c r="AK44" s="1064" t="s">
        <v>1825</v>
      </c>
      <c r="AL44" s="1067">
        <v>4220</v>
      </c>
      <c r="AM44" s="1067">
        <v>5590</v>
      </c>
      <c r="AN44" s="1067">
        <v>7050</v>
      </c>
      <c r="AO44"/>
      <c r="AP44"/>
      <c r="AQ44" s="1918">
        <v>2</v>
      </c>
      <c r="AR44" s="1923" t="str">
        <f>+VLOOKUP(AQ44,AQ42:AR43,2)</f>
        <v>PARA  Asphaltic  Concrete</v>
      </c>
      <c r="AS44" s="1925"/>
      <c r="AT44" s="1925"/>
      <c r="AY44" s="734">
        <v>3</v>
      </c>
      <c r="AZ44" s="730" t="s">
        <v>1699</v>
      </c>
      <c r="BA44" s="734">
        <v>28.27</v>
      </c>
      <c r="BB44" s="2157">
        <f t="shared" si="23"/>
        <v>7</v>
      </c>
      <c r="BC44" s="734">
        <f>+BB44*BA44</f>
        <v>197.89</v>
      </c>
      <c r="BE44" s="2166">
        <v>3.4</v>
      </c>
      <c r="BF44" s="2167">
        <v>7.0999999999999994E-2</v>
      </c>
      <c r="BG44" s="2168">
        <v>1.427</v>
      </c>
      <c r="BH44" s="2168">
        <v>0.95099999999999996</v>
      </c>
      <c r="BI44" s="2168">
        <v>0.95099999999999996</v>
      </c>
      <c r="BJ44" s="2168">
        <v>0.71299999999999997</v>
      </c>
      <c r="BK44" s="2168">
        <v>0.71299999999999997</v>
      </c>
      <c r="BL44" s="2168">
        <v>0.57099999999999995</v>
      </c>
      <c r="BM44" s="2168">
        <v>0.47499999999999998</v>
      </c>
      <c r="BT44" s="537"/>
    </row>
    <row r="45" spans="1:72" s="269" customFormat="1" ht="24.75" thickBot="1">
      <c r="A45" s="1722">
        <f>A44+1</f>
        <v>5</v>
      </c>
      <c r="B45" s="2363" t="s">
        <v>1873</v>
      </c>
      <c r="C45" s="2370">
        <v>1.5</v>
      </c>
      <c r="D45" s="1701">
        <v>0.15</v>
      </c>
      <c r="E45" s="1701">
        <f>+ROUND(((22/7*(C45+D45+D45)^2)/4)-((22/7*C45^2)/4),3)</f>
        <v>0.77800000000000002</v>
      </c>
      <c r="F45" s="1702">
        <f>+E45*2400</f>
        <v>1867.2</v>
      </c>
      <c r="G45" s="1703">
        <f>+(C45+D45+D45)</f>
        <v>1.7999999999999998</v>
      </c>
      <c r="H45" s="1703">
        <v>3</v>
      </c>
      <c r="I45" s="1703">
        <f>+ROUNDDOWN($I$40/1,)</f>
        <v>2</v>
      </c>
      <c r="J45" s="1703">
        <f>+ROUNDUP($J$40/(C45+D45+D45),)</f>
        <v>2</v>
      </c>
      <c r="K45" s="2360">
        <f>+K44</f>
        <v>90.82</v>
      </c>
      <c r="L45" s="2360">
        <v>5</v>
      </c>
      <c r="M45" s="2371">
        <f t="shared" si="21"/>
        <v>1480.66</v>
      </c>
      <c r="N45" s="2360">
        <f t="shared" si="22"/>
        <v>296.13200000000001</v>
      </c>
      <c r="O45" s="1703">
        <v>635</v>
      </c>
      <c r="P45" s="1703"/>
      <c r="X45" s="1754">
        <v>24</v>
      </c>
      <c r="Y45" s="1755">
        <v>24</v>
      </c>
      <c r="AA45" s="1004" t="s">
        <v>1284</v>
      </c>
      <c r="AB45" s="1005">
        <v>2</v>
      </c>
      <c r="AD45" s="1873">
        <v>2</v>
      </c>
      <c r="AE45" s="1902" t="s">
        <v>1355</v>
      </c>
      <c r="AF45"/>
      <c r="AG45"/>
      <c r="AH45"/>
      <c r="AI45"/>
      <c r="AJ45" s="744">
        <f t="shared" si="20"/>
        <v>14</v>
      </c>
      <c r="AK45" s="1064" t="s">
        <v>1826</v>
      </c>
      <c r="AL45" s="1067">
        <v>4220</v>
      </c>
      <c r="AM45" s="1067">
        <v>5590</v>
      </c>
      <c r="AN45" s="1067">
        <v>7050</v>
      </c>
      <c r="AO45"/>
      <c r="AP45"/>
      <c r="AQ45"/>
      <c r="AY45" s="1401">
        <v>2</v>
      </c>
      <c r="BE45" s="2166">
        <v>3.6</v>
      </c>
      <c r="BF45" s="2167">
        <v>0.08</v>
      </c>
      <c r="BG45" s="2168">
        <v>1.599</v>
      </c>
      <c r="BH45" s="2168">
        <v>1.0660000000000001</v>
      </c>
      <c r="BI45" s="2168">
        <v>1.0660000000000001</v>
      </c>
      <c r="BJ45" s="2168">
        <v>0.8</v>
      </c>
      <c r="BK45" s="2168">
        <v>0.8</v>
      </c>
      <c r="BL45" s="2168">
        <v>0.64</v>
      </c>
      <c r="BM45" s="2168">
        <v>0.53300000000000003</v>
      </c>
      <c r="BT45" s="537"/>
    </row>
    <row r="46" spans="1:72" s="269" customFormat="1" ht="22.5" thickBot="1">
      <c r="A46" s="271"/>
      <c r="B46" s="271"/>
      <c r="C46" s="271"/>
      <c r="T46"/>
      <c r="U46"/>
      <c r="V46"/>
      <c r="X46" s="1754">
        <v>25</v>
      </c>
      <c r="Y46" s="1755">
        <v>25</v>
      </c>
      <c r="AA46" s="1004" t="s">
        <v>1285</v>
      </c>
      <c r="AB46"/>
      <c r="AD46" s="1873">
        <v>3</v>
      </c>
      <c r="AE46" s="1902" t="s">
        <v>1356</v>
      </c>
      <c r="AF46"/>
      <c r="AG46"/>
      <c r="AH46"/>
      <c r="AI46"/>
      <c r="AJ46" s="744">
        <f t="shared" si="20"/>
        <v>15</v>
      </c>
      <c r="AK46" s="1064" t="s">
        <v>1827</v>
      </c>
      <c r="AL46" s="1067">
        <v>4220</v>
      </c>
      <c r="AM46" s="1067">
        <v>5590</v>
      </c>
      <c r="AN46" s="1067">
        <v>7050</v>
      </c>
      <c r="AO46"/>
      <c r="AP46" s="1926" t="s">
        <v>1901</v>
      </c>
      <c r="AZ46" s="2843" t="s">
        <v>1693</v>
      </c>
      <c r="BA46" s="2843"/>
      <c r="BB46" s="2843"/>
      <c r="BC46" s="2843"/>
      <c r="BE46" s="2166">
        <v>3.8</v>
      </c>
      <c r="BF46" s="2167">
        <v>8.8999999999999996E-2</v>
      </c>
      <c r="BG46" s="2168">
        <v>1.782</v>
      </c>
      <c r="BH46" s="2168">
        <v>1.1879999999999999</v>
      </c>
      <c r="BI46" s="2168">
        <v>1.1879999999999999</v>
      </c>
      <c r="BJ46" s="2168">
        <v>0.89100000000000001</v>
      </c>
      <c r="BK46" s="2168">
        <v>0.89100000000000001</v>
      </c>
      <c r="BL46" s="2168">
        <v>0.71299999999999997</v>
      </c>
      <c r="BM46" s="2168">
        <v>0.59399999999999997</v>
      </c>
      <c r="BT46" s="537"/>
    </row>
    <row r="47" spans="1:72" s="269" customFormat="1" ht="27.75">
      <c r="A47" s="2939" t="s">
        <v>1868</v>
      </c>
      <c r="B47" s="2940"/>
      <c r="C47" s="2878" t="s">
        <v>417</v>
      </c>
      <c r="D47" s="2880" t="s">
        <v>416</v>
      </c>
      <c r="E47" s="1664" t="s">
        <v>282</v>
      </c>
      <c r="F47" s="1665" t="s">
        <v>282</v>
      </c>
      <c r="G47" s="1666" t="s">
        <v>282</v>
      </c>
      <c r="H47" s="1667" t="s">
        <v>392</v>
      </c>
      <c r="I47" s="1668" t="s">
        <v>392</v>
      </c>
      <c r="J47" s="1669" t="s">
        <v>392</v>
      </c>
      <c r="O47" s="1900">
        <v>1</v>
      </c>
      <c r="P47" s="1896" t="s">
        <v>719</v>
      </c>
      <c r="Q47" s="1896"/>
      <c r="R47" s="1897"/>
      <c r="T47"/>
      <c r="U47"/>
      <c r="V47"/>
      <c r="X47" s="1754">
        <v>26</v>
      </c>
      <c r="Y47" s="1755">
        <v>26</v>
      </c>
      <c r="AF47"/>
      <c r="AG47"/>
      <c r="AH47"/>
      <c r="AI47"/>
      <c r="AJ47" s="744">
        <f t="shared" si="20"/>
        <v>16</v>
      </c>
      <c r="AK47" s="1064" t="s">
        <v>1322</v>
      </c>
      <c r="AL47" s="1067">
        <v>6260</v>
      </c>
      <c r="AM47" s="1067">
        <v>6850</v>
      </c>
      <c r="AN47" s="1067">
        <v>7580</v>
      </c>
      <c r="AO47"/>
      <c r="AP47" s="1927" t="s">
        <v>1902</v>
      </c>
      <c r="AQ47" s="1927" t="s">
        <v>1903</v>
      </c>
      <c r="AR47" s="1927" t="s">
        <v>1904</v>
      </c>
      <c r="AS47" s="1927" t="s">
        <v>1905</v>
      </c>
      <c r="AT47" s="1927" t="s">
        <v>1906</v>
      </c>
      <c r="AU47" s="1927" t="s">
        <v>1907</v>
      </c>
      <c r="AV47" s="1927" t="s">
        <v>1908</v>
      </c>
      <c r="AW47" s="1927" t="s">
        <v>1909</v>
      </c>
      <c r="AX47" s="1927" t="s">
        <v>1910</v>
      </c>
      <c r="AZ47" s="1912" t="s">
        <v>605</v>
      </c>
      <c r="BA47" s="1911" t="s">
        <v>1696</v>
      </c>
      <c r="BB47" s="1911" t="s">
        <v>604</v>
      </c>
      <c r="BC47" s="1911" t="s">
        <v>1696</v>
      </c>
      <c r="BE47" s="2166">
        <v>4</v>
      </c>
      <c r="BF47" s="2167">
        <v>9.9000000000000005E-2</v>
      </c>
      <c r="BG47" s="2168">
        <v>1.974</v>
      </c>
      <c r="BH47" s="2168">
        <v>1.3160000000000001</v>
      </c>
      <c r="BI47" s="2168">
        <v>1.3160000000000001</v>
      </c>
      <c r="BJ47" s="2168">
        <v>0.98699999999999999</v>
      </c>
      <c r="BK47" s="2168">
        <v>0.98699999999999999</v>
      </c>
      <c r="BL47" s="2168">
        <v>0.79</v>
      </c>
      <c r="BM47" s="2168">
        <v>0.65800000000000003</v>
      </c>
      <c r="BT47" s="537"/>
    </row>
    <row r="48" spans="1:72" s="269" customFormat="1" ht="22.5" customHeight="1" thickBot="1">
      <c r="A48" s="2941"/>
      <c r="B48" s="2942"/>
      <c r="C48" s="2879"/>
      <c r="D48" s="2881"/>
      <c r="E48" s="1670" t="s">
        <v>424</v>
      </c>
      <c r="F48" s="1671" t="s">
        <v>425</v>
      </c>
      <c r="G48" s="1672" t="s">
        <v>426</v>
      </c>
      <c r="H48" s="1670" t="s">
        <v>424</v>
      </c>
      <c r="I48" s="1671" t="s">
        <v>425</v>
      </c>
      <c r="J48" s="1672" t="s">
        <v>426</v>
      </c>
      <c r="O48" s="1901">
        <v>2</v>
      </c>
      <c r="P48" s="1898" t="s">
        <v>720</v>
      </c>
      <c r="Q48" s="1898"/>
      <c r="R48" s="1899"/>
      <c r="T48"/>
      <c r="U48"/>
      <c r="V48"/>
      <c r="X48" s="1754">
        <v>27</v>
      </c>
      <c r="Y48" s="1755">
        <v>27</v>
      </c>
      <c r="AE48" s="171"/>
      <c r="AF48"/>
      <c r="AG48"/>
      <c r="AH48"/>
      <c r="AI48"/>
      <c r="AJ48" s="744">
        <f t="shared" si="20"/>
        <v>17</v>
      </c>
      <c r="AK48" s="1064" t="s">
        <v>1323</v>
      </c>
      <c r="AL48" s="1067">
        <v>6260</v>
      </c>
      <c r="AM48" s="1067">
        <v>6850</v>
      </c>
      <c r="AN48" s="1067">
        <v>7580</v>
      </c>
      <c r="AO48"/>
      <c r="AP48" s="761">
        <v>0.80900000000000005</v>
      </c>
      <c r="AQ48" s="761">
        <v>0.74399999999999999</v>
      </c>
      <c r="AR48" s="761">
        <v>0.745</v>
      </c>
      <c r="AS48" s="761">
        <v>0.45600000000000002</v>
      </c>
      <c r="AT48" s="761">
        <v>0.40899999999999997</v>
      </c>
      <c r="AU48" s="761">
        <v>0.79300000000000004</v>
      </c>
      <c r="AV48" s="761">
        <v>0.34699999999999998</v>
      </c>
      <c r="AW48" s="761">
        <v>0.52400000000000002</v>
      </c>
      <c r="AX48" s="761">
        <v>0.22</v>
      </c>
      <c r="AY48" s="734">
        <v>1</v>
      </c>
      <c r="AZ48" s="730" t="s">
        <v>1697</v>
      </c>
      <c r="BA48" s="734">
        <v>12.57</v>
      </c>
      <c r="BB48" s="734">
        <f>ROUNDUP(1/$BC$38,)</f>
        <v>7</v>
      </c>
      <c r="BC48" s="734">
        <f>+BB48*BA48</f>
        <v>87.990000000000009</v>
      </c>
      <c r="BE48" s="2166">
        <v>4.3</v>
      </c>
      <c r="BF48" s="2167">
        <v>0.114</v>
      </c>
      <c r="BG48" s="2168">
        <v>2.282</v>
      </c>
      <c r="BH48" s="2168">
        <v>1.5209999999999999</v>
      </c>
      <c r="BI48" s="2168">
        <v>1.5209999999999999</v>
      </c>
      <c r="BJ48" s="2168">
        <v>1.141</v>
      </c>
      <c r="BK48" s="2168">
        <v>1.141</v>
      </c>
      <c r="BL48" s="2168">
        <v>0.91300000000000003</v>
      </c>
      <c r="BM48" s="2168">
        <v>0.76100000000000001</v>
      </c>
      <c r="BT48" s="537"/>
    </row>
    <row r="49" spans="1:72" s="269" customFormat="1" ht="28.5" thickBot="1">
      <c r="A49" s="1720">
        <v>1</v>
      </c>
      <c r="B49" s="1673" t="s">
        <v>1869</v>
      </c>
      <c r="C49" s="1696">
        <v>0.6</v>
      </c>
      <c r="D49" s="1704">
        <v>7.4999999999999997E-2</v>
      </c>
      <c r="E49" s="1676">
        <f>+ROUND(((C49+D49*2)+(0.3+0.3))*0.15,3)</f>
        <v>0.20300000000000001</v>
      </c>
      <c r="F49" s="1677">
        <f>+ROUND(((C49*2+D49*4+C49/2)+(0.3+0.3))*0.15,3)</f>
        <v>0.36</v>
      </c>
      <c r="G49" s="1678">
        <f>+ROUND(((C49*3+D49*6+C49)+(0.3+0.3))*0.15,3)</f>
        <v>0.51800000000000002</v>
      </c>
      <c r="H49" s="1679">
        <f>+ROUND(((C49+D49*2)+(0.3+0.3))*(C49+D49+0.6)-(22/7*(C49+D49)^2/4),3)</f>
        <v>1.363</v>
      </c>
      <c r="I49" s="1680">
        <f>+ROUND(((C49*2+D49*4+C49/2)+(0.3+0.3))*(C49+D49+0.6)-(22/7*(C49+D49)^2/4),3)</f>
        <v>2.702</v>
      </c>
      <c r="J49" s="1681">
        <f>+ROUND(((C49*3+D49*6+C49)+(0.3+0.3))*(C49+D49+0.6)-(22/7*(C49+D49)^2/4),3)</f>
        <v>4.0410000000000004</v>
      </c>
      <c r="O49" s="1901">
        <v>1</v>
      </c>
      <c r="P49" s="2898" t="str">
        <f>+VLOOKUP(O49,O47:P48,2)</f>
        <v>บำรุงรักษาระบบโครงข่ายทาง</v>
      </c>
      <c r="Q49" s="2898"/>
      <c r="R49" s="2899"/>
      <c r="T49"/>
      <c r="U49"/>
      <c r="V49"/>
      <c r="X49" s="1754">
        <v>28</v>
      </c>
      <c r="Y49" s="1755">
        <v>28</v>
      </c>
      <c r="AA49" s="941">
        <v>1</v>
      </c>
      <c r="AB49" s="262" t="s">
        <v>1248</v>
      </c>
      <c r="AC49" s="943">
        <f>119.3*60</f>
        <v>7158</v>
      </c>
      <c r="AD49" s="942">
        <v>3</v>
      </c>
      <c r="AE49" s="171"/>
      <c r="AF49"/>
      <c r="AG49"/>
      <c r="AH49"/>
      <c r="AI49"/>
      <c r="AJ49" s="744">
        <f t="shared" si="20"/>
        <v>18</v>
      </c>
      <c r="AK49" s="1064" t="s">
        <v>1324</v>
      </c>
      <c r="AL49" s="1067">
        <v>4220</v>
      </c>
      <c r="AM49" s="1067">
        <v>5590</v>
      </c>
      <c r="AN49" s="1067">
        <v>7050</v>
      </c>
      <c r="AO49"/>
      <c r="AP49" s="1927" t="s">
        <v>1911</v>
      </c>
      <c r="AQ49" s="1927" t="s">
        <v>1909</v>
      </c>
      <c r="AR49" s="1927" t="s">
        <v>1912</v>
      </c>
      <c r="AS49" s="1927" t="s">
        <v>1913</v>
      </c>
      <c r="AT49" s="1927" t="s">
        <v>1914</v>
      </c>
      <c r="AU49" s="1927" t="s">
        <v>1915</v>
      </c>
      <c r="AV49" s="1927" t="s">
        <v>1916</v>
      </c>
      <c r="AW49" s="1927" t="s">
        <v>1917</v>
      </c>
      <c r="AX49" s="1927"/>
      <c r="AY49" s="734">
        <v>2</v>
      </c>
      <c r="AZ49" s="730" t="s">
        <v>1698</v>
      </c>
      <c r="BA49" s="734">
        <v>19.63</v>
      </c>
      <c r="BB49" s="2157">
        <f t="shared" ref="BB49:BB50" si="24">ROUNDUP(1/$BC$38,)</f>
        <v>7</v>
      </c>
      <c r="BC49" s="734">
        <f>+BB49*BA49</f>
        <v>137.41</v>
      </c>
      <c r="BE49" s="2166">
        <v>4.5999999999999996</v>
      </c>
      <c r="BF49" s="2167">
        <v>0.13100000000000001</v>
      </c>
      <c r="BG49" s="2168">
        <v>2.6110000000000002</v>
      </c>
      <c r="BH49" s="2168">
        <v>1.7410000000000001</v>
      </c>
      <c r="BI49" s="2168">
        <v>1.7410000000000001</v>
      </c>
      <c r="BJ49" s="2168">
        <v>1.306</v>
      </c>
      <c r="BK49" s="2168">
        <v>1.306</v>
      </c>
      <c r="BL49" s="2168">
        <v>1.044</v>
      </c>
      <c r="BM49" s="2168">
        <v>0.87</v>
      </c>
      <c r="BT49" s="537"/>
    </row>
    <row r="50" spans="1:72" s="269" customFormat="1" ht="24">
      <c r="A50" s="1722">
        <f>A49+1</f>
        <v>2</v>
      </c>
      <c r="B50" s="1674" t="s">
        <v>1870</v>
      </c>
      <c r="C50" s="1682">
        <v>0.8</v>
      </c>
      <c r="D50" s="1705">
        <v>9.5000000000000001E-2</v>
      </c>
      <c r="E50" s="1683">
        <f>+ROUND(((C50+D50*2)+(0.3+0.3))*0.15,3)</f>
        <v>0.23899999999999999</v>
      </c>
      <c r="F50" s="1684">
        <f>+ROUND(((C50*2+D50*4+C50/2)+(0.3+0.3))*0.15,3)</f>
        <v>0.44700000000000001</v>
      </c>
      <c r="G50" s="1685">
        <f>+ROUND(((C50*3+D50*6+C50)+(0.3+0.3))*0.15,3)</f>
        <v>0.65600000000000003</v>
      </c>
      <c r="H50" s="1686">
        <f>+ROUND(((C50+D50*2)+(0.3+0.3))*(C50+D50+0.6)-(22/7*(C50+D50)^2/4),3)</f>
        <v>1.748</v>
      </c>
      <c r="I50" s="1687">
        <f>+ROUND(((C50*2+D50*4+C50/2)+(0.3+0.3))*(C50+D50+0.6)-(22/7*(C50+D50)^2/4),3)</f>
        <v>3.8260000000000001</v>
      </c>
      <c r="J50" s="1688">
        <f>+ROUND(((C50*3+D50*6+C50)+(0.3+0.3))*(C50+D50+0.6)-(22/7*(C50+D50)^2/4),3)</f>
        <v>5.9039999999999999</v>
      </c>
      <c r="T50"/>
      <c r="U50"/>
      <c r="V50"/>
      <c r="X50" s="1754">
        <v>29</v>
      </c>
      <c r="Y50" s="1755">
        <v>29</v>
      </c>
      <c r="AA50" s="263">
        <v>2</v>
      </c>
      <c r="AB50" s="265" t="s">
        <v>1249</v>
      </c>
      <c r="AC50" s="944">
        <f>119.3*75</f>
        <v>8947.5</v>
      </c>
      <c r="AD50" s="150"/>
      <c r="AE50" s="171"/>
      <c r="AF50"/>
      <c r="AG50"/>
      <c r="AH50"/>
      <c r="AI50"/>
      <c r="AJ50" s="744">
        <f t="shared" si="20"/>
        <v>19</v>
      </c>
      <c r="AK50" s="1064" t="s">
        <v>1325</v>
      </c>
      <c r="AL50" s="1067">
        <v>4220</v>
      </c>
      <c r="AM50" s="1067">
        <v>5590</v>
      </c>
      <c r="AN50" s="1067">
        <v>7050</v>
      </c>
      <c r="AO50"/>
      <c r="AP50" s="1917">
        <v>1.0429999999999999</v>
      </c>
      <c r="AQ50" s="1917">
        <v>0.52400000000000002</v>
      </c>
      <c r="AR50" s="718">
        <v>0.41399999999999998</v>
      </c>
      <c r="AS50" s="718">
        <v>0.85199999999999998</v>
      </c>
      <c r="AT50" s="718">
        <v>0.87</v>
      </c>
      <c r="AU50" s="718">
        <v>0.38800000000000001</v>
      </c>
      <c r="AV50" s="718">
        <v>0.98899999999999999</v>
      </c>
      <c r="AW50" s="718">
        <v>0.186</v>
      </c>
      <c r="AX50" s="718"/>
      <c r="AY50" s="734">
        <v>3</v>
      </c>
      <c r="AZ50" s="730" t="s">
        <v>1699</v>
      </c>
      <c r="BA50" s="734">
        <v>28.27</v>
      </c>
      <c r="BB50" s="2157">
        <f t="shared" si="24"/>
        <v>7</v>
      </c>
      <c r="BC50" s="734">
        <f>+BB50*BA50</f>
        <v>197.89</v>
      </c>
      <c r="BE50" s="2169">
        <v>5</v>
      </c>
      <c r="BF50" s="2168">
        <v>0.154</v>
      </c>
      <c r="BG50" s="2168">
        <v>3.085</v>
      </c>
      <c r="BH50" s="2168">
        <v>2.0569999999999999</v>
      </c>
      <c r="BI50" s="2168">
        <v>2.0569999999999999</v>
      </c>
      <c r="BJ50" s="2168">
        <v>1.5429999999999999</v>
      </c>
      <c r="BK50" s="2168">
        <v>1.5429999999999999</v>
      </c>
      <c r="BL50" s="2168">
        <v>1.234</v>
      </c>
      <c r="BM50" s="2168">
        <v>1.028</v>
      </c>
      <c r="BT50" s="537"/>
    </row>
    <row r="51" spans="1:72" s="269" customFormat="1" ht="24">
      <c r="A51" s="1722">
        <f>A50+1</f>
        <v>3</v>
      </c>
      <c r="B51" s="1674" t="s">
        <v>1871</v>
      </c>
      <c r="C51" s="1682">
        <v>1</v>
      </c>
      <c r="D51" s="1705">
        <v>0.11</v>
      </c>
      <c r="E51" s="1683">
        <f>+ROUND(((C51+D51*2)+(0.3+0.3))*0.15,3)</f>
        <v>0.27300000000000002</v>
      </c>
      <c r="F51" s="1684">
        <f>+ROUND(((C51*2+D51*4+C51/2)+(0.3+0.3))*0.15,3)</f>
        <v>0.53100000000000003</v>
      </c>
      <c r="G51" s="1685">
        <f>+ROUND(((C51*3+D51*6+C51)+(0.3+0.3))*0.15,3)</f>
        <v>0.78900000000000003</v>
      </c>
      <c r="H51" s="1686">
        <f>+ROUND(((C51+D51*2)+(0.3+0.3))*(C51+D51+0.6)-(22/7*(C51+D51)^2/4),3)</f>
        <v>2.1440000000000001</v>
      </c>
      <c r="I51" s="1687">
        <f>+ROUND(((C51*2+D51*4+C51/2)+(0.3+0.3))*(C51+D51+0.6)-(22/7*(C51+D51)^2/4),3)</f>
        <v>5.085</v>
      </c>
      <c r="J51" s="1688">
        <f>+ROUND(((C51*3+D51*6+C51)+(0.3+0.3))*(C51+D51+0.6)-(22/7*(C51+D51)^2/4),3)</f>
        <v>8.0269999999999992</v>
      </c>
      <c r="Q51" s="534"/>
      <c r="S51" s="268"/>
      <c r="T51"/>
      <c r="U51"/>
      <c r="V51"/>
      <c r="W51" s="268"/>
      <c r="X51" s="1754">
        <v>30</v>
      </c>
      <c r="Y51" s="1755">
        <v>30</v>
      </c>
      <c r="Z51" s="268"/>
      <c r="AA51" s="263">
        <v>3</v>
      </c>
      <c r="AB51" s="265" t="s">
        <v>1250</v>
      </c>
      <c r="AC51" s="944">
        <f>119.3*90</f>
        <v>10737</v>
      </c>
      <c r="AD51" s="150"/>
      <c r="AE51" s="171"/>
      <c r="AF51"/>
      <c r="AG51"/>
      <c r="AH51"/>
      <c r="AI51"/>
      <c r="AJ51" s="744">
        <f t="shared" si="20"/>
        <v>20</v>
      </c>
      <c r="AK51" s="1064" t="s">
        <v>1326</v>
      </c>
      <c r="AL51" s="1067">
        <v>3750</v>
      </c>
      <c r="AM51" s="1067">
        <v>4810</v>
      </c>
      <c r="AN51" s="1067">
        <v>5730</v>
      </c>
      <c r="AO51"/>
      <c r="BE51" s="2169">
        <v>5.6</v>
      </c>
      <c r="BF51" s="2168">
        <v>0.193</v>
      </c>
      <c r="BG51" s="2168">
        <v>3.87</v>
      </c>
      <c r="BH51" s="2168">
        <v>2.58</v>
      </c>
      <c r="BI51" s="2168">
        <v>2.58</v>
      </c>
      <c r="BJ51" s="2168">
        <v>1.9350000000000001</v>
      </c>
      <c r="BK51" s="2168">
        <v>1.9350000000000001</v>
      </c>
      <c r="BL51" s="2168">
        <v>1.548</v>
      </c>
      <c r="BM51" s="2168">
        <v>1.29</v>
      </c>
      <c r="BT51" s="537"/>
    </row>
    <row r="52" spans="1:72" s="269" customFormat="1" ht="24">
      <c r="A52" s="1722">
        <f>A51+1</f>
        <v>4</v>
      </c>
      <c r="B52" s="1674" t="s">
        <v>1872</v>
      </c>
      <c r="C52" s="1682">
        <v>1.2</v>
      </c>
      <c r="D52" s="1705">
        <v>0.125</v>
      </c>
      <c r="E52" s="1683">
        <f>+ROUND(((C52+D52*2)+(0.3+0.3))*0.15,3)</f>
        <v>0.308</v>
      </c>
      <c r="F52" s="1684">
        <f>+ROUND(((C52*2+D52*4+C52/2)+(0.3+0.3))*0.15,3)</f>
        <v>0.61499999999999999</v>
      </c>
      <c r="G52" s="1685">
        <f>+ROUND(((C52*3+D52*6+C52)+(0.3+0.3))*0.15,3)</f>
        <v>0.92300000000000004</v>
      </c>
      <c r="H52" s="1686">
        <f>+ROUND(((C52+D52*2)+(0.3+0.3))*(C52+D52+0.6)-(22/7*(C52+D52)^2/4),3)</f>
        <v>2.5670000000000002</v>
      </c>
      <c r="I52" s="1687">
        <f>+ROUND(((C52*2+D52*4+C52/2)+(0.3+0.3))*(C52+D52+0.6)-(22/7*(C52+D52)^2/4),3)</f>
        <v>6.5129999999999999</v>
      </c>
      <c r="J52" s="1688">
        <f>+ROUND(((C52*3+D52*6+C52)+(0.3+0.3))*(C52+D52+0.6)-(22/7*(C52+D52)^2/4),3)</f>
        <v>10.459</v>
      </c>
      <c r="T52"/>
      <c r="U52"/>
      <c r="V52"/>
      <c r="X52" s="1760">
        <v>31</v>
      </c>
      <c r="Y52" s="1761">
        <v>31</v>
      </c>
      <c r="Z52" s="268"/>
      <c r="AA52" s="263">
        <v>4</v>
      </c>
      <c r="AB52" s="265" t="s">
        <v>1251</v>
      </c>
      <c r="AC52" s="944">
        <f>119.3*120</f>
        <v>14316</v>
      </c>
      <c r="AD52" s="150"/>
      <c r="AE52" s="171"/>
      <c r="AF52"/>
      <c r="AG52"/>
      <c r="AH52"/>
      <c r="AI52"/>
      <c r="AJ52" s="744">
        <f t="shared" si="20"/>
        <v>21</v>
      </c>
      <c r="AK52" s="1064" t="s">
        <v>1327</v>
      </c>
      <c r="AL52" s="1067">
        <v>3750</v>
      </c>
      <c r="AM52" s="1067">
        <v>4810</v>
      </c>
      <c r="AN52" s="1067">
        <v>5730</v>
      </c>
      <c r="AO52"/>
      <c r="BE52" s="2170">
        <v>6</v>
      </c>
      <c r="BF52" s="2171">
        <v>0.222</v>
      </c>
      <c r="BG52" s="2171">
        <v>4.4420000000000002</v>
      </c>
      <c r="BH52" s="2171">
        <v>2.9620000000000002</v>
      </c>
      <c r="BI52" s="2171">
        <v>2.9620000000000002</v>
      </c>
      <c r="BJ52" s="2171">
        <v>2.2210000000000001</v>
      </c>
      <c r="BK52" s="2171">
        <v>2.2210000000000001</v>
      </c>
      <c r="BL52" s="2171">
        <v>1.7769999999999999</v>
      </c>
      <c r="BM52" s="2171">
        <v>1.4810000000000001</v>
      </c>
      <c r="BT52" s="537"/>
    </row>
    <row r="53" spans="1:72" s="269" customFormat="1" ht="24.75" thickBot="1">
      <c r="A53" s="1722">
        <f>A52+1</f>
        <v>5</v>
      </c>
      <c r="B53" s="1675" t="s">
        <v>1873</v>
      </c>
      <c r="C53" s="1689">
        <v>1.5</v>
      </c>
      <c r="D53" s="1706">
        <v>0.15</v>
      </c>
      <c r="E53" s="1690">
        <f>+ROUND(((C53+D53*2)+(0.3+0.3))*0.15,3)</f>
        <v>0.36</v>
      </c>
      <c r="F53" s="1691">
        <f>+ROUND(((C53*2+D53*4+C53/2)+(0.3+0.3))*0.15,3)</f>
        <v>0.74299999999999999</v>
      </c>
      <c r="G53" s="1692">
        <f>+ROUND(((C53*3+D53*6+C53)+(0.3+0.3))*0.15,3)</f>
        <v>1.125</v>
      </c>
      <c r="H53" s="1693">
        <f>+ROUND(((C53+D53*2)+(0.3+0.3))*(C53+D53+0.6)-(22/7*(C53+D53)^2/4),3)</f>
        <v>3.2610000000000001</v>
      </c>
      <c r="I53" s="1694">
        <f>+ROUND(((C53*2+D53*4+C53/2)+(0.3+0.3))*(C53+D53+0.6)-(22/7*(C53+D53)^2/4),3)</f>
        <v>8.9979999999999993</v>
      </c>
      <c r="J53" s="1695">
        <f>+ROUND(((C53*3+D53*6+C53)+(0.3+0.3))*(C53+D53+0.6)-(22/7*(C53+D53)^2/4),3)</f>
        <v>14.736000000000001</v>
      </c>
      <c r="T53"/>
      <c r="U53"/>
      <c r="V53"/>
      <c r="X53" s="1762">
        <v>10</v>
      </c>
      <c r="Y53" s="1763">
        <f>+VLOOKUP(X53,X22:Y52,2)</f>
        <v>10</v>
      </c>
      <c r="Z53" s="268"/>
      <c r="AA53" s="263">
        <v>5</v>
      </c>
      <c r="AB53" s="265" t="s">
        <v>1252</v>
      </c>
      <c r="AC53" s="944">
        <f>119.3*150</f>
        <v>17895</v>
      </c>
      <c r="AD53" s="150"/>
      <c r="AE53" s="171"/>
      <c r="AF53"/>
      <c r="AG53"/>
      <c r="AH53"/>
      <c r="AI53"/>
      <c r="AJ53" s="744">
        <f t="shared" si="20"/>
        <v>22</v>
      </c>
      <c r="AK53" s="1064" t="s">
        <v>1328</v>
      </c>
      <c r="AL53" s="1067">
        <v>6170</v>
      </c>
      <c r="AM53" s="1067">
        <v>6760</v>
      </c>
      <c r="AN53" s="1067">
        <v>7490</v>
      </c>
      <c r="AO53"/>
      <c r="AP53" s="1928" t="s">
        <v>1918</v>
      </c>
      <c r="AQ53" s="1929"/>
      <c r="AR53" s="758">
        <f>+ROUND((AP48+AQ48+AR48+AS48+AT48+AU48+AV48+AW48+AX48)*1.05,2)</f>
        <v>5.3</v>
      </c>
      <c r="BT53" s="537"/>
    </row>
    <row r="54" spans="1:72" s="269" customFormat="1" ht="24.75" thickBot="1">
      <c r="A54" s="270"/>
      <c r="B54" s="270"/>
      <c r="C54" s="270"/>
      <c r="T54"/>
      <c r="U54"/>
      <c r="V54"/>
      <c r="Y54" s="268"/>
      <c r="Z54" s="268"/>
      <c r="AA54" s="264">
        <v>6</v>
      </c>
      <c r="AB54" s="266" t="s">
        <v>1253</v>
      </c>
      <c r="AC54" s="945">
        <f>119.3*180</f>
        <v>21474</v>
      </c>
      <c r="AD54" s="150"/>
      <c r="AE54" s="171"/>
      <c r="AF54"/>
      <c r="AG54"/>
      <c r="AH54"/>
      <c r="AI54"/>
      <c r="AJ54" s="744">
        <f t="shared" si="20"/>
        <v>23</v>
      </c>
      <c r="AK54" s="1064" t="s">
        <v>1329</v>
      </c>
      <c r="AL54" s="1067">
        <v>6170</v>
      </c>
      <c r="AM54" s="1067">
        <v>6760</v>
      </c>
      <c r="AN54" s="1067">
        <v>7490</v>
      </c>
      <c r="AO54"/>
      <c r="AP54" s="1930" t="s">
        <v>1919</v>
      </c>
      <c r="AQ54" s="1931"/>
      <c r="AR54" s="718">
        <f>+ROUND((AV50+AS50+AW50+AQ48)*1.05,2)</f>
        <v>2.91</v>
      </c>
      <c r="BE54" s="2159"/>
      <c r="BT54" s="537"/>
    </row>
    <row r="55" spans="1:72" s="269" customFormat="1" ht="28.5" thickBot="1">
      <c r="A55" s="270"/>
      <c r="B55" s="1662" t="s">
        <v>1867</v>
      </c>
      <c r="C55" s="270"/>
      <c r="E55" s="283"/>
      <c r="F55" s="283"/>
      <c r="G55" s="283"/>
      <c r="H55" s="283"/>
      <c r="I55" s="283"/>
      <c r="J55" s="283"/>
      <c r="K55" s="751"/>
      <c r="L55" s="283"/>
      <c r="M55" s="283"/>
      <c r="N55" s="283"/>
      <c r="O55" s="283"/>
      <c r="P55" s="283"/>
      <c r="Q55" s="283"/>
      <c r="R55" s="283"/>
      <c r="S55" s="268"/>
      <c r="T55" s="283"/>
      <c r="U55" s="283"/>
      <c r="V55" s="283"/>
      <c r="Z55" s="268"/>
      <c r="AA55" s="261"/>
      <c r="AB55" s="1641"/>
      <c r="AC55" s="1642"/>
      <c r="AD55" s="150"/>
      <c r="AE55" s="171"/>
      <c r="AF55"/>
      <c r="AG55"/>
      <c r="AH55"/>
      <c r="AI55"/>
      <c r="AJ55" s="744">
        <f t="shared" si="20"/>
        <v>24</v>
      </c>
      <c r="AK55" s="1064" t="s">
        <v>1828</v>
      </c>
      <c r="AL55" s="1067">
        <v>4370</v>
      </c>
      <c r="AM55" s="1067">
        <v>5860</v>
      </c>
      <c r="AN55" s="1067">
        <v>6780</v>
      </c>
      <c r="AO55"/>
      <c r="AP55" s="1930" t="s">
        <v>1920</v>
      </c>
      <c r="AQ55" s="1931"/>
      <c r="AR55" s="718">
        <f>+ROUND((AP50+AQ50+AR50+AV48+AQ50+AS50+AT50+AU50)*1.05,2)</f>
        <v>5.21</v>
      </c>
      <c r="BE55" s="2159"/>
      <c r="BT55" s="537"/>
    </row>
    <row r="56" spans="1:72" s="269" customFormat="1" ht="23.25" customHeight="1">
      <c r="A56" s="270"/>
      <c r="B56" s="2946" t="s">
        <v>429</v>
      </c>
      <c r="C56" s="2944"/>
      <c r="D56" s="2944"/>
      <c r="E56" s="2945"/>
      <c r="F56" s="2943" t="s">
        <v>434</v>
      </c>
      <c r="G56" s="2944"/>
      <c r="H56" s="2945"/>
      <c r="I56" s="2949" t="s">
        <v>430</v>
      </c>
      <c r="J56" s="1655" t="s">
        <v>50</v>
      </c>
      <c r="K56" s="1655" t="s">
        <v>395</v>
      </c>
      <c r="L56" s="2943" t="s">
        <v>1866</v>
      </c>
      <c r="M56" s="2944"/>
      <c r="N56" s="2944"/>
      <c r="O56" s="2945"/>
      <c r="P56" s="2943" t="s">
        <v>436</v>
      </c>
      <c r="Q56" s="2944"/>
      <c r="R56" s="2944"/>
      <c r="S56" s="2945"/>
      <c r="T56" s="1656" t="s">
        <v>563</v>
      </c>
      <c r="Z56" s="750"/>
      <c r="AA56" s="261"/>
      <c r="AB56" s="1641"/>
      <c r="AC56" s="1642"/>
      <c r="AD56" s="150"/>
      <c r="AE56" s="885"/>
      <c r="AF56"/>
      <c r="AG56"/>
      <c r="AH56"/>
      <c r="AI56"/>
      <c r="AJ56" s="744">
        <f t="shared" si="20"/>
        <v>25</v>
      </c>
      <c r="AK56" s="1064" t="s">
        <v>1330</v>
      </c>
      <c r="AL56" s="1067">
        <v>4370</v>
      </c>
      <c r="AM56" s="1067">
        <v>5860</v>
      </c>
      <c r="AN56" s="1067">
        <v>6780</v>
      </c>
      <c r="BE56" s="2159"/>
      <c r="BT56" s="537"/>
    </row>
    <row r="57" spans="1:72" s="269" customFormat="1" ht="24.75" thickBot="1">
      <c r="A57" s="270"/>
      <c r="B57" s="1657" t="s">
        <v>431</v>
      </c>
      <c r="C57" s="1658" t="s">
        <v>416</v>
      </c>
      <c r="D57" s="1659" t="s">
        <v>432</v>
      </c>
      <c r="E57" s="1659" t="s">
        <v>294</v>
      </c>
      <c r="F57" s="2033" t="s">
        <v>433</v>
      </c>
      <c r="G57" s="1659" t="s">
        <v>280</v>
      </c>
      <c r="H57" s="1658" t="s">
        <v>294</v>
      </c>
      <c r="I57" s="2950"/>
      <c r="J57" s="1660" t="s">
        <v>282</v>
      </c>
      <c r="K57" s="1660" t="s">
        <v>282</v>
      </c>
      <c r="L57" s="1658" t="s">
        <v>376</v>
      </c>
      <c r="M57" s="1659" t="s">
        <v>439</v>
      </c>
      <c r="N57" s="1658" t="s">
        <v>438</v>
      </c>
      <c r="O57" s="1658" t="s">
        <v>395</v>
      </c>
      <c r="P57" s="1658" t="s">
        <v>376</v>
      </c>
      <c r="Q57" s="1659" t="s">
        <v>438</v>
      </c>
      <c r="R57" s="1658" t="s">
        <v>437</v>
      </c>
      <c r="S57" s="1658" t="s">
        <v>395</v>
      </c>
      <c r="T57" s="1661" t="s">
        <v>282</v>
      </c>
      <c r="Z57" s="750"/>
      <c r="AA57" s="292"/>
      <c r="AB57" s="292"/>
      <c r="AC57" s="292"/>
      <c r="AD57" s="292"/>
      <c r="AE57" s="885"/>
      <c r="AF57"/>
      <c r="AG57"/>
      <c r="AH57"/>
      <c r="AI57"/>
      <c r="AJ57" s="744">
        <f t="shared" si="20"/>
        <v>26</v>
      </c>
      <c r="AK57" s="1064" t="s">
        <v>1331</v>
      </c>
      <c r="AL57" s="1067">
        <v>5690</v>
      </c>
      <c r="AM57" s="1067">
        <v>7470</v>
      </c>
      <c r="AN57" s="1067">
        <v>7860</v>
      </c>
      <c r="BE57" s="2159"/>
      <c r="BT57" s="537"/>
    </row>
    <row r="58" spans="1:72" s="269" customFormat="1" ht="21.95" customHeight="1">
      <c r="A58" s="270"/>
      <c r="B58" s="1643">
        <v>0.6</v>
      </c>
      <c r="C58" s="1644">
        <v>7.4999999999999997E-2</v>
      </c>
      <c r="D58" s="1645">
        <v>1</v>
      </c>
      <c r="E58" s="1650">
        <f>ROUND((22/7*($B$58+$C$58+$C$58)^2)/4*D58,3)</f>
        <v>0.442</v>
      </c>
      <c r="F58" s="2034">
        <v>1.95</v>
      </c>
      <c r="G58" s="1653">
        <v>1.95</v>
      </c>
      <c r="H58" s="1651">
        <f t="shared" ref="H58:H72" si="25">+F58*G58</f>
        <v>3.8024999999999998</v>
      </c>
      <c r="I58" s="1649">
        <f t="shared" ref="I58:I72" si="26">+H58-E58</f>
        <v>3.3604999999999996</v>
      </c>
      <c r="J58" s="753">
        <v>0.15</v>
      </c>
      <c r="K58" s="1652">
        <f t="shared" ref="K58:K72" si="27">+ROUND(J58*I58,3)</f>
        <v>0.504</v>
      </c>
      <c r="L58" s="1653">
        <v>0.2</v>
      </c>
      <c r="M58" s="752">
        <v>0.6</v>
      </c>
      <c r="N58" s="752">
        <f t="shared" ref="N58:N72" si="28">+F58</f>
        <v>1.95</v>
      </c>
      <c r="O58" s="753">
        <f t="shared" ref="O58:O72" si="29">+ROUND(L58*M58*N58*2,3)</f>
        <v>0.46800000000000003</v>
      </c>
      <c r="P58" s="1653">
        <v>1</v>
      </c>
      <c r="Q58" s="752">
        <f t="shared" ref="Q58:Q72" si="30">+N58</f>
        <v>1.95</v>
      </c>
      <c r="R58" s="752">
        <v>0.2</v>
      </c>
      <c r="S58" s="1652">
        <f t="shared" ref="S58:S72" si="31">+ROUND(P58*Q58*R58,3)</f>
        <v>0.39</v>
      </c>
      <c r="T58" s="1654">
        <f t="shared" ref="T58:T72" si="32">+S58+O58+K58</f>
        <v>1.3620000000000001</v>
      </c>
      <c r="AD58" s="292"/>
      <c r="AE58" s="885"/>
      <c r="AF58"/>
      <c r="AG58"/>
      <c r="AH58"/>
      <c r="AI58"/>
      <c r="AJ58" s="744">
        <f t="shared" si="20"/>
        <v>27</v>
      </c>
      <c r="AK58" s="1064" t="s">
        <v>1332</v>
      </c>
      <c r="AL58" s="1067">
        <v>3810</v>
      </c>
      <c r="AM58" s="1067">
        <v>4810</v>
      </c>
      <c r="AN58" s="1067">
        <v>6130</v>
      </c>
      <c r="BE58" s="2159"/>
      <c r="BT58" s="537"/>
    </row>
    <row r="59" spans="1:72" s="269" customFormat="1" ht="21.95" customHeight="1">
      <c r="A59" s="270"/>
      <c r="B59" s="754"/>
      <c r="C59" s="755"/>
      <c r="D59" s="756">
        <v>2</v>
      </c>
      <c r="E59" s="1650">
        <f>ROUND((22/7*($B$58+$C$58+$C$58)^2)/4*D59,3)</f>
        <v>0.88400000000000001</v>
      </c>
      <c r="F59" s="790">
        <v>3</v>
      </c>
      <c r="G59" s="762">
        <v>1.95</v>
      </c>
      <c r="H59" s="760">
        <f t="shared" si="25"/>
        <v>5.85</v>
      </c>
      <c r="I59" s="757">
        <f t="shared" si="26"/>
        <v>4.9659999999999993</v>
      </c>
      <c r="J59" s="718">
        <f t="shared" ref="J59:J60" si="33">+J58</f>
        <v>0.15</v>
      </c>
      <c r="K59" s="761">
        <f t="shared" si="27"/>
        <v>0.745</v>
      </c>
      <c r="L59" s="762">
        <v>0.2</v>
      </c>
      <c r="M59" s="758">
        <v>0.6</v>
      </c>
      <c r="N59" s="758">
        <f t="shared" si="28"/>
        <v>3</v>
      </c>
      <c r="O59" s="718">
        <f t="shared" si="29"/>
        <v>0.72</v>
      </c>
      <c r="P59" s="762">
        <v>1</v>
      </c>
      <c r="Q59" s="758">
        <f t="shared" si="30"/>
        <v>3</v>
      </c>
      <c r="R59" s="758">
        <f t="shared" ref="R59:R60" si="34">+R58</f>
        <v>0.2</v>
      </c>
      <c r="S59" s="1652">
        <f t="shared" si="31"/>
        <v>0.6</v>
      </c>
      <c r="T59" s="763">
        <f t="shared" si="32"/>
        <v>2.0649999999999999</v>
      </c>
      <c r="AE59" s="885"/>
      <c r="AF59"/>
      <c r="AG59"/>
      <c r="AH59"/>
      <c r="AI59"/>
      <c r="AJ59" s="744">
        <f t="shared" si="20"/>
        <v>28</v>
      </c>
      <c r="AK59" s="1064" t="s">
        <v>1829</v>
      </c>
      <c r="AL59" s="1067">
        <v>9070</v>
      </c>
      <c r="AM59" s="1067">
        <v>12860</v>
      </c>
      <c r="AN59" s="1067">
        <v>13640</v>
      </c>
      <c r="BT59" s="537"/>
    </row>
    <row r="60" spans="1:72" s="269" customFormat="1" ht="21.95" customHeight="1" thickBot="1">
      <c r="A60" s="270"/>
      <c r="B60" s="782"/>
      <c r="C60" s="783"/>
      <c r="D60" s="764">
        <v>3</v>
      </c>
      <c r="E60" s="1650">
        <f>ROUND((22/7*($B$58+$C$58+$C$58)^2)/4*D60,3)</f>
        <v>1.3260000000000001</v>
      </c>
      <c r="F60" s="796">
        <v>4.05</v>
      </c>
      <c r="G60" s="771">
        <v>1.95</v>
      </c>
      <c r="H60" s="768">
        <f t="shared" si="25"/>
        <v>7.8974999999999991</v>
      </c>
      <c r="I60" s="765">
        <f t="shared" si="26"/>
        <v>6.5714999999999986</v>
      </c>
      <c r="J60" s="769">
        <f t="shared" si="33"/>
        <v>0.15</v>
      </c>
      <c r="K60" s="770">
        <f t="shared" si="27"/>
        <v>0.98599999999999999</v>
      </c>
      <c r="L60" s="771">
        <v>0.2</v>
      </c>
      <c r="M60" s="766">
        <v>0.6</v>
      </c>
      <c r="N60" s="766">
        <f t="shared" si="28"/>
        <v>4.05</v>
      </c>
      <c r="O60" s="769">
        <f t="shared" si="29"/>
        <v>0.97199999999999998</v>
      </c>
      <c r="P60" s="771">
        <f t="shared" ref="P60" si="35">+P59</f>
        <v>1</v>
      </c>
      <c r="Q60" s="766">
        <f t="shared" si="30"/>
        <v>4.05</v>
      </c>
      <c r="R60" s="766">
        <f t="shared" si="34"/>
        <v>0.2</v>
      </c>
      <c r="S60" s="1652">
        <f t="shared" si="31"/>
        <v>0.81</v>
      </c>
      <c r="T60" s="772">
        <f t="shared" si="32"/>
        <v>2.7679999999999998</v>
      </c>
      <c r="W60" s="283"/>
      <c r="X60" s="283"/>
      <c r="Y60" s="283"/>
      <c r="Z60" s="750"/>
      <c r="AA60" s="2178">
        <v>1</v>
      </c>
      <c r="AB60" s="719" t="s">
        <v>2047</v>
      </c>
      <c r="AC60" s="722"/>
      <c r="AD60" s="723"/>
      <c r="AE60" s="885"/>
      <c r="AF60"/>
      <c r="AG60"/>
      <c r="AH60"/>
      <c r="AI60"/>
      <c r="AJ60" s="744">
        <f t="shared" si="20"/>
        <v>29</v>
      </c>
      <c r="AK60" s="1064" t="s">
        <v>1830</v>
      </c>
      <c r="AL60" s="1067">
        <v>7380</v>
      </c>
      <c r="AM60" s="1067">
        <v>10390</v>
      </c>
      <c r="AN60" s="1067">
        <v>11910</v>
      </c>
      <c r="BT60" s="537"/>
    </row>
    <row r="61" spans="1:72" s="269" customFormat="1" ht="24">
      <c r="A61" s="270"/>
      <c r="B61" s="1646">
        <v>0.8</v>
      </c>
      <c r="C61" s="1647">
        <v>9.5000000000000001E-2</v>
      </c>
      <c r="D61" s="773">
        <v>1</v>
      </c>
      <c r="E61" s="1648">
        <f>ROUND((22/7*($B$61+$C$61+$C$61)^2)/4*D61,3)</f>
        <v>0.77</v>
      </c>
      <c r="F61" s="784">
        <v>2.19</v>
      </c>
      <c r="G61" s="780">
        <v>2.39</v>
      </c>
      <c r="H61" s="777">
        <f t="shared" si="25"/>
        <v>5.2340999999999998</v>
      </c>
      <c r="I61" s="774">
        <f t="shared" si="26"/>
        <v>4.4641000000000002</v>
      </c>
      <c r="J61" s="778">
        <f t="shared" ref="J61:J72" si="36">+J60</f>
        <v>0.15</v>
      </c>
      <c r="K61" s="779">
        <f t="shared" si="27"/>
        <v>0.67</v>
      </c>
      <c r="L61" s="780">
        <v>0.2</v>
      </c>
      <c r="M61" s="775">
        <v>0.6</v>
      </c>
      <c r="N61" s="775">
        <f t="shared" si="28"/>
        <v>2.19</v>
      </c>
      <c r="O61" s="778">
        <f t="shared" si="29"/>
        <v>0.52600000000000002</v>
      </c>
      <c r="P61" s="780">
        <f t="shared" ref="P61:P72" si="37">+P60</f>
        <v>1</v>
      </c>
      <c r="Q61" s="775">
        <f t="shared" si="30"/>
        <v>2.19</v>
      </c>
      <c r="R61" s="775">
        <f t="shared" ref="R61:R72" si="38">+R60</f>
        <v>0.2</v>
      </c>
      <c r="S61" s="779">
        <f t="shared" si="31"/>
        <v>0.438</v>
      </c>
      <c r="T61" s="781">
        <f t="shared" si="32"/>
        <v>1.6339999999999999</v>
      </c>
      <c r="AA61" s="2178">
        <v>2</v>
      </c>
      <c r="AB61" s="1801" t="s">
        <v>2048</v>
      </c>
      <c r="AC61" s="725"/>
      <c r="AD61" s="726"/>
      <c r="AE61" s="885"/>
      <c r="AF61"/>
      <c r="AG61"/>
      <c r="AH61"/>
      <c r="AI61"/>
      <c r="AJ61" s="744">
        <f t="shared" si="20"/>
        <v>30</v>
      </c>
      <c r="AK61" s="1068" t="s">
        <v>1831</v>
      </c>
      <c r="AL61" s="1067">
        <v>9070</v>
      </c>
      <c r="AM61" s="1067">
        <v>13080</v>
      </c>
      <c r="AN61" s="1067">
        <v>15730</v>
      </c>
      <c r="AO61"/>
      <c r="AP61"/>
      <c r="AQ61"/>
      <c r="BT61" s="537"/>
    </row>
    <row r="62" spans="1:72" s="269" customFormat="1" ht="24">
      <c r="A62" s="270"/>
      <c r="B62" s="754"/>
      <c r="C62" s="755"/>
      <c r="D62" s="756">
        <v>2</v>
      </c>
      <c r="E62" s="757">
        <f>ROUND((22/7*($B$61+$C$61+$C$61)^2)/4*D62,3)</f>
        <v>1.54</v>
      </c>
      <c r="F62" s="790">
        <v>3.58</v>
      </c>
      <c r="G62" s="762">
        <f>+G61</f>
        <v>2.39</v>
      </c>
      <c r="H62" s="760">
        <f t="shared" si="25"/>
        <v>8.5562000000000005</v>
      </c>
      <c r="I62" s="757">
        <f t="shared" si="26"/>
        <v>7.0162000000000004</v>
      </c>
      <c r="J62" s="718">
        <f t="shared" si="36"/>
        <v>0.15</v>
      </c>
      <c r="K62" s="761">
        <f t="shared" si="27"/>
        <v>1.052</v>
      </c>
      <c r="L62" s="762">
        <v>0.2</v>
      </c>
      <c r="M62" s="758">
        <v>0.6</v>
      </c>
      <c r="N62" s="758">
        <f t="shared" si="28"/>
        <v>3.58</v>
      </c>
      <c r="O62" s="718">
        <f t="shared" si="29"/>
        <v>0.85899999999999999</v>
      </c>
      <c r="P62" s="762">
        <f t="shared" si="37"/>
        <v>1</v>
      </c>
      <c r="Q62" s="758">
        <f t="shared" si="30"/>
        <v>3.58</v>
      </c>
      <c r="R62" s="758">
        <f t="shared" si="38"/>
        <v>0.2</v>
      </c>
      <c r="S62" s="761">
        <f t="shared" si="31"/>
        <v>0.71599999999999997</v>
      </c>
      <c r="T62" s="763">
        <f t="shared" si="32"/>
        <v>2.6269999999999998</v>
      </c>
      <c r="AA62" s="2178">
        <v>3</v>
      </c>
      <c r="AB62" s="1801" t="s">
        <v>2049</v>
      </c>
      <c r="AC62" s="725"/>
      <c r="AD62" s="726"/>
      <c r="AE62" s="885"/>
      <c r="AF62"/>
      <c r="AG62"/>
      <c r="AH62"/>
      <c r="AI62"/>
      <c r="AJ62" s="744">
        <f>+AJ56+1</f>
        <v>26</v>
      </c>
      <c r="AK62" s="1590" t="s">
        <v>1333</v>
      </c>
      <c r="AL62" s="1067">
        <v>280</v>
      </c>
      <c r="AM62" s="1067"/>
      <c r="AN62" s="1067"/>
      <c r="AO62"/>
      <c r="AP62"/>
      <c r="AQ62"/>
      <c r="BT62" s="537"/>
    </row>
    <row r="63" spans="1:72" s="269" customFormat="1" ht="24.75" thickBot="1">
      <c r="A63" s="270"/>
      <c r="B63" s="782"/>
      <c r="C63" s="783"/>
      <c r="D63" s="764">
        <v>3</v>
      </c>
      <c r="E63" s="1649">
        <f>ROUND((22/7*($B$61+$C$61+$C$61)^2)/4*D63,3)</f>
        <v>2.31</v>
      </c>
      <c r="F63" s="796">
        <v>4.97</v>
      </c>
      <c r="G63" s="771">
        <f>+G62</f>
        <v>2.39</v>
      </c>
      <c r="H63" s="768">
        <f t="shared" si="25"/>
        <v>11.878299999999999</v>
      </c>
      <c r="I63" s="765">
        <f t="shared" si="26"/>
        <v>9.5682999999999989</v>
      </c>
      <c r="J63" s="769">
        <f t="shared" si="36"/>
        <v>0.15</v>
      </c>
      <c r="K63" s="770">
        <f t="shared" si="27"/>
        <v>1.4350000000000001</v>
      </c>
      <c r="L63" s="771">
        <v>0.2</v>
      </c>
      <c r="M63" s="766">
        <v>0.6</v>
      </c>
      <c r="N63" s="766">
        <f t="shared" si="28"/>
        <v>4.97</v>
      </c>
      <c r="O63" s="769">
        <f t="shared" si="29"/>
        <v>1.1930000000000001</v>
      </c>
      <c r="P63" s="771">
        <f t="shared" si="37"/>
        <v>1</v>
      </c>
      <c r="Q63" s="766">
        <f t="shared" si="30"/>
        <v>4.97</v>
      </c>
      <c r="R63" s="766">
        <f t="shared" si="38"/>
        <v>0.2</v>
      </c>
      <c r="S63" s="770">
        <f t="shared" si="31"/>
        <v>0.99399999999999999</v>
      </c>
      <c r="T63" s="772">
        <f t="shared" si="32"/>
        <v>3.6220000000000003</v>
      </c>
      <c r="AA63" s="2178">
        <v>4</v>
      </c>
      <c r="AB63" s="1801" t="s">
        <v>2050</v>
      </c>
      <c r="AC63" s="725"/>
      <c r="AD63" s="726"/>
      <c r="AE63" s="885"/>
      <c r="AF63"/>
      <c r="AG63"/>
      <c r="AH63"/>
      <c r="AI63"/>
      <c r="AJ63" s="744">
        <f t="shared" ref="AJ63:AJ71" si="39">+AJ62+1</f>
        <v>27</v>
      </c>
      <c r="AK63" s="1590" t="s">
        <v>1334</v>
      </c>
      <c r="AL63" s="1067">
        <v>400</v>
      </c>
      <c r="AM63" s="1067"/>
      <c r="AN63" s="1067"/>
      <c r="AO63"/>
      <c r="AP63"/>
      <c r="AQ63"/>
      <c r="BT63" s="537"/>
    </row>
    <row r="64" spans="1:72" s="269" customFormat="1" ht="24">
      <c r="A64" s="270"/>
      <c r="B64" s="1646">
        <v>1</v>
      </c>
      <c r="C64" s="1647">
        <v>0.11</v>
      </c>
      <c r="D64" s="773">
        <v>1</v>
      </c>
      <c r="E64" s="1648">
        <f>ROUND((22/7*($B$64+$C$64+$C$64)^2)/4*D64,3)</f>
        <v>1.169</v>
      </c>
      <c r="F64" s="784">
        <v>2.42</v>
      </c>
      <c r="G64" s="780">
        <v>2.82</v>
      </c>
      <c r="H64" s="777">
        <f t="shared" si="25"/>
        <v>6.8243999999999998</v>
      </c>
      <c r="I64" s="774">
        <f t="shared" si="26"/>
        <v>5.6554000000000002</v>
      </c>
      <c r="J64" s="778">
        <f t="shared" si="36"/>
        <v>0.15</v>
      </c>
      <c r="K64" s="779">
        <f t="shared" si="27"/>
        <v>0.84799999999999998</v>
      </c>
      <c r="L64" s="780">
        <v>0.2</v>
      </c>
      <c r="M64" s="775">
        <v>0.6</v>
      </c>
      <c r="N64" s="775">
        <f t="shared" si="28"/>
        <v>2.42</v>
      </c>
      <c r="O64" s="778">
        <f t="shared" si="29"/>
        <v>0.58099999999999996</v>
      </c>
      <c r="P64" s="780">
        <f t="shared" si="37"/>
        <v>1</v>
      </c>
      <c r="Q64" s="775">
        <f t="shared" si="30"/>
        <v>2.42</v>
      </c>
      <c r="R64" s="775">
        <f t="shared" si="38"/>
        <v>0.2</v>
      </c>
      <c r="S64" s="779">
        <f t="shared" si="31"/>
        <v>0.48399999999999999</v>
      </c>
      <c r="T64" s="781">
        <f t="shared" si="32"/>
        <v>1.9129999999999998</v>
      </c>
      <c r="X64" s="171"/>
      <c r="Y64" s="171"/>
      <c r="Z64" s="171"/>
      <c r="AA64" s="2177">
        <v>5</v>
      </c>
      <c r="AB64" s="1801" t="s">
        <v>2051</v>
      </c>
      <c r="AC64" s="1408"/>
      <c r="AD64" s="2296"/>
      <c r="AE64" s="885"/>
      <c r="AF64"/>
      <c r="AG64"/>
      <c r="AH64"/>
      <c r="AI64"/>
      <c r="AJ64" s="744">
        <f t="shared" si="39"/>
        <v>28</v>
      </c>
      <c r="AK64" s="1590" t="s">
        <v>1335</v>
      </c>
      <c r="AL64" s="1067">
        <v>740</v>
      </c>
      <c r="AM64" s="1067"/>
      <c r="AN64" s="1067"/>
      <c r="AO64"/>
      <c r="AP64"/>
      <c r="AQ64"/>
      <c r="BT64" s="537"/>
    </row>
    <row r="65" spans="1:72" s="269" customFormat="1" ht="24">
      <c r="A65" s="270"/>
      <c r="B65" s="754"/>
      <c r="C65" s="755"/>
      <c r="D65" s="756">
        <v>2</v>
      </c>
      <c r="E65" s="757">
        <f>ROUND((22/7*($B$64+$C$64+$C$64)^2)/4*D65,3)</f>
        <v>2.339</v>
      </c>
      <c r="F65" s="790">
        <v>4.1399999999999997</v>
      </c>
      <c r="G65" s="762">
        <f>+G64</f>
        <v>2.82</v>
      </c>
      <c r="H65" s="760">
        <f t="shared" si="25"/>
        <v>11.674799999999998</v>
      </c>
      <c r="I65" s="757">
        <f t="shared" si="26"/>
        <v>9.3357999999999972</v>
      </c>
      <c r="J65" s="718">
        <f t="shared" si="36"/>
        <v>0.15</v>
      </c>
      <c r="K65" s="761">
        <f t="shared" si="27"/>
        <v>1.4</v>
      </c>
      <c r="L65" s="762">
        <v>0.2</v>
      </c>
      <c r="M65" s="758">
        <v>0.6</v>
      </c>
      <c r="N65" s="758">
        <f t="shared" si="28"/>
        <v>4.1399999999999997</v>
      </c>
      <c r="O65" s="718">
        <f t="shared" si="29"/>
        <v>0.99399999999999999</v>
      </c>
      <c r="P65" s="762">
        <f t="shared" si="37"/>
        <v>1</v>
      </c>
      <c r="Q65" s="758">
        <f t="shared" si="30"/>
        <v>4.1399999999999997</v>
      </c>
      <c r="R65" s="758">
        <f t="shared" si="38"/>
        <v>0.2</v>
      </c>
      <c r="S65" s="761">
        <f t="shared" si="31"/>
        <v>0.82799999999999996</v>
      </c>
      <c r="T65" s="763">
        <f t="shared" si="32"/>
        <v>3.222</v>
      </c>
      <c r="X65" s="171"/>
      <c r="Y65" s="171"/>
      <c r="Z65" s="171"/>
      <c r="AA65" s="2177">
        <v>6</v>
      </c>
      <c r="AB65" s="1801" t="s">
        <v>2052</v>
      </c>
      <c r="AC65" s="2297"/>
      <c r="AD65" s="726"/>
      <c r="AE65" s="518"/>
      <c r="AF65"/>
      <c r="AG65"/>
      <c r="AH65"/>
      <c r="AI65"/>
      <c r="AJ65" s="744">
        <f t="shared" si="39"/>
        <v>29</v>
      </c>
      <c r="AK65" s="1590" t="s">
        <v>237</v>
      </c>
      <c r="AL65" s="1067">
        <v>330</v>
      </c>
      <c r="AM65" s="1067"/>
      <c r="AN65" s="1067"/>
      <c r="AO65" s="171"/>
      <c r="BT65" s="537"/>
    </row>
    <row r="66" spans="1:72" s="269" customFormat="1" ht="24.75" thickBot="1">
      <c r="A66" s="270"/>
      <c r="B66" s="782"/>
      <c r="C66" s="783"/>
      <c r="D66" s="764">
        <v>3</v>
      </c>
      <c r="E66" s="1649">
        <f>ROUND((22/7*($B$64+$C$64+$C$64)^2)/4*D66,3)</f>
        <v>3.508</v>
      </c>
      <c r="F66" s="796">
        <v>5.86</v>
      </c>
      <c r="G66" s="771">
        <f>+G65</f>
        <v>2.82</v>
      </c>
      <c r="H66" s="768">
        <f t="shared" si="25"/>
        <v>16.525200000000002</v>
      </c>
      <c r="I66" s="765">
        <f t="shared" si="26"/>
        <v>13.017200000000003</v>
      </c>
      <c r="J66" s="769">
        <f t="shared" si="36"/>
        <v>0.15</v>
      </c>
      <c r="K66" s="770">
        <f t="shared" si="27"/>
        <v>1.9530000000000001</v>
      </c>
      <c r="L66" s="771">
        <v>0.2</v>
      </c>
      <c r="M66" s="766">
        <v>0.6</v>
      </c>
      <c r="N66" s="766">
        <f t="shared" si="28"/>
        <v>5.86</v>
      </c>
      <c r="O66" s="769">
        <f t="shared" si="29"/>
        <v>1.4059999999999999</v>
      </c>
      <c r="P66" s="771">
        <f t="shared" si="37"/>
        <v>1</v>
      </c>
      <c r="Q66" s="766">
        <f t="shared" si="30"/>
        <v>5.86</v>
      </c>
      <c r="R66" s="766">
        <f t="shared" si="38"/>
        <v>0.2</v>
      </c>
      <c r="S66" s="770">
        <f t="shared" si="31"/>
        <v>1.1719999999999999</v>
      </c>
      <c r="T66" s="772">
        <f t="shared" si="32"/>
        <v>4.5309999999999997</v>
      </c>
      <c r="X66" s="171"/>
      <c r="Y66" s="171"/>
      <c r="Z66" s="171"/>
      <c r="AA66" s="2298">
        <v>2</v>
      </c>
      <c r="AB66" s="171"/>
      <c r="AC66" s="283"/>
      <c r="AD66" s="283"/>
      <c r="AE66" s="885"/>
      <c r="AF66"/>
      <c r="AG66"/>
      <c r="AH66"/>
      <c r="AI66"/>
      <c r="AJ66" s="744">
        <f t="shared" si="39"/>
        <v>30</v>
      </c>
      <c r="AK66" s="1590" t="s">
        <v>231</v>
      </c>
      <c r="AL66" s="1067">
        <v>2290</v>
      </c>
      <c r="AM66" s="1067"/>
      <c r="AN66" s="1067"/>
      <c r="AO66" s="171"/>
      <c r="BT66" s="537"/>
    </row>
    <row r="67" spans="1:72" s="269" customFormat="1" ht="24">
      <c r="A67" s="270"/>
      <c r="B67" s="1646">
        <v>1.2</v>
      </c>
      <c r="C67" s="1647">
        <v>0.125</v>
      </c>
      <c r="D67" s="773">
        <v>1</v>
      </c>
      <c r="E67" s="1648">
        <f>ROUND((22/7*($B$67+$C$67+$C$67)^2)/4*D67,3)</f>
        <v>1.6519999999999999</v>
      </c>
      <c r="F67" s="784">
        <v>2.65</v>
      </c>
      <c r="G67" s="780">
        <v>3.25</v>
      </c>
      <c r="H67" s="777">
        <f t="shared" si="25"/>
        <v>8.6124999999999989</v>
      </c>
      <c r="I67" s="774">
        <f t="shared" si="26"/>
        <v>6.9604999999999988</v>
      </c>
      <c r="J67" s="778">
        <f t="shared" si="36"/>
        <v>0.15</v>
      </c>
      <c r="K67" s="779">
        <f t="shared" si="27"/>
        <v>1.044</v>
      </c>
      <c r="L67" s="780">
        <v>0.2</v>
      </c>
      <c r="M67" s="775">
        <v>0.6</v>
      </c>
      <c r="N67" s="775">
        <f t="shared" si="28"/>
        <v>2.65</v>
      </c>
      <c r="O67" s="778">
        <f t="shared" si="29"/>
        <v>0.63600000000000001</v>
      </c>
      <c r="P67" s="780">
        <f t="shared" si="37"/>
        <v>1</v>
      </c>
      <c r="Q67" s="775">
        <f t="shared" si="30"/>
        <v>2.65</v>
      </c>
      <c r="R67" s="775">
        <f t="shared" si="38"/>
        <v>0.2</v>
      </c>
      <c r="S67" s="779">
        <f t="shared" si="31"/>
        <v>0.53</v>
      </c>
      <c r="T67" s="781">
        <f t="shared" si="32"/>
        <v>2.21</v>
      </c>
      <c r="X67" s="283"/>
      <c r="Y67" s="283"/>
      <c r="Z67" s="283"/>
      <c r="AA67" s="283"/>
      <c r="AB67" s="283"/>
      <c r="AC67" s="283"/>
      <c r="AD67" s="283"/>
      <c r="AE67" s="885"/>
      <c r="AF67"/>
      <c r="AG67"/>
      <c r="AH67"/>
      <c r="AI67"/>
      <c r="AJ67" s="744">
        <f t="shared" si="39"/>
        <v>31</v>
      </c>
      <c r="AK67" s="1590" t="s">
        <v>1336</v>
      </c>
      <c r="AL67" s="1067">
        <v>1780</v>
      </c>
      <c r="AM67" s="1067"/>
      <c r="AN67" s="1067"/>
      <c r="BT67" s="537"/>
    </row>
    <row r="68" spans="1:72" s="269" customFormat="1" ht="24">
      <c r="A68" s="271"/>
      <c r="B68" s="754"/>
      <c r="C68" s="755"/>
      <c r="D68" s="756">
        <v>2</v>
      </c>
      <c r="E68" s="757">
        <f>ROUND((22/7*($B$67+$C$67+$C$67)^2)/4*D68,3)</f>
        <v>3.3039999999999998</v>
      </c>
      <c r="F68" s="790">
        <v>4.7</v>
      </c>
      <c r="G68" s="762">
        <f>+G67</f>
        <v>3.25</v>
      </c>
      <c r="H68" s="760">
        <f t="shared" si="25"/>
        <v>15.275</v>
      </c>
      <c r="I68" s="757">
        <f t="shared" si="26"/>
        <v>11.971</v>
      </c>
      <c r="J68" s="718">
        <f t="shared" si="36"/>
        <v>0.15</v>
      </c>
      <c r="K68" s="761">
        <f t="shared" si="27"/>
        <v>1.796</v>
      </c>
      <c r="L68" s="762">
        <v>0.2</v>
      </c>
      <c r="M68" s="758">
        <v>0.6</v>
      </c>
      <c r="N68" s="758">
        <f t="shared" si="28"/>
        <v>4.7</v>
      </c>
      <c r="O68" s="718">
        <f t="shared" si="29"/>
        <v>1.1279999999999999</v>
      </c>
      <c r="P68" s="762">
        <f t="shared" si="37"/>
        <v>1</v>
      </c>
      <c r="Q68" s="758">
        <f t="shared" si="30"/>
        <v>4.7</v>
      </c>
      <c r="R68" s="758">
        <f t="shared" si="38"/>
        <v>0.2</v>
      </c>
      <c r="S68" s="761">
        <f t="shared" si="31"/>
        <v>0.94</v>
      </c>
      <c r="T68" s="763">
        <f t="shared" si="32"/>
        <v>3.8639999999999999</v>
      </c>
      <c r="X68" s="283"/>
      <c r="Y68" s="283"/>
      <c r="Z68" s="283"/>
      <c r="AA68" s="283"/>
      <c r="AB68" s="283"/>
      <c r="AC68" s="283"/>
      <c r="AD68" s="283"/>
      <c r="AE68" s="885"/>
      <c r="AF68"/>
      <c r="AG68"/>
      <c r="AH68"/>
      <c r="AI68"/>
      <c r="AJ68" s="744">
        <f t="shared" si="39"/>
        <v>32</v>
      </c>
      <c r="AK68" s="1590" t="s">
        <v>1337</v>
      </c>
      <c r="AL68" s="1067">
        <v>1400</v>
      </c>
      <c r="AM68" s="1067"/>
      <c r="AN68" s="1067"/>
      <c r="BT68" s="537"/>
    </row>
    <row r="69" spans="1:72" s="269" customFormat="1" ht="24.75" thickBot="1">
      <c r="A69" s="283"/>
      <c r="B69" s="782"/>
      <c r="C69" s="783"/>
      <c r="D69" s="764">
        <v>3</v>
      </c>
      <c r="E69" s="1649">
        <f>ROUND((22/7*($B$67+$C$67+$C$67)^2)/4*D69,3)</f>
        <v>4.9560000000000004</v>
      </c>
      <c r="F69" s="796">
        <v>6.75</v>
      </c>
      <c r="G69" s="771">
        <f>+G68</f>
        <v>3.25</v>
      </c>
      <c r="H69" s="768">
        <f t="shared" si="25"/>
        <v>21.9375</v>
      </c>
      <c r="I69" s="765">
        <f t="shared" si="26"/>
        <v>16.9815</v>
      </c>
      <c r="J69" s="769">
        <f t="shared" si="36"/>
        <v>0.15</v>
      </c>
      <c r="K69" s="770">
        <f t="shared" si="27"/>
        <v>2.5470000000000002</v>
      </c>
      <c r="L69" s="771">
        <v>0.2</v>
      </c>
      <c r="M69" s="766">
        <v>0.6</v>
      </c>
      <c r="N69" s="766">
        <f t="shared" si="28"/>
        <v>6.75</v>
      </c>
      <c r="O69" s="769">
        <f t="shared" si="29"/>
        <v>1.62</v>
      </c>
      <c r="P69" s="771">
        <f t="shared" si="37"/>
        <v>1</v>
      </c>
      <c r="Q69" s="766">
        <f t="shared" si="30"/>
        <v>6.75</v>
      </c>
      <c r="R69" s="766">
        <f t="shared" si="38"/>
        <v>0.2</v>
      </c>
      <c r="S69" s="770">
        <f t="shared" si="31"/>
        <v>1.35</v>
      </c>
      <c r="T69" s="772">
        <f t="shared" si="32"/>
        <v>5.5170000000000003</v>
      </c>
      <c r="X69" s="283"/>
      <c r="Y69" s="283"/>
      <c r="Z69" s="283"/>
      <c r="AA69" s="283"/>
      <c r="AB69" s="283"/>
      <c r="AC69" s="283"/>
      <c r="AD69" s="283"/>
      <c r="AE69" s="885"/>
      <c r="AF69"/>
      <c r="AG69"/>
      <c r="AH69"/>
      <c r="AI69"/>
      <c r="AJ69" s="744">
        <f t="shared" si="39"/>
        <v>33</v>
      </c>
      <c r="AK69" s="1590" t="s">
        <v>1338</v>
      </c>
      <c r="AL69" s="1067">
        <v>890</v>
      </c>
      <c r="AM69" s="1067"/>
      <c r="AN69" s="1067"/>
      <c r="AO69"/>
      <c r="AP69"/>
      <c r="BT69" s="537"/>
    </row>
    <row r="70" spans="1:72" s="269" customFormat="1" ht="24">
      <c r="A70" s="283"/>
      <c r="B70" s="1646">
        <v>1.5</v>
      </c>
      <c r="C70" s="1647">
        <v>0.15</v>
      </c>
      <c r="D70" s="773">
        <v>1</v>
      </c>
      <c r="E70" s="1648">
        <f>ROUND((22/7*($B$70+$C$70+$C$70)^2)/4*D70,3)</f>
        <v>2.5459999999999998</v>
      </c>
      <c r="F70" s="784">
        <v>3</v>
      </c>
      <c r="G70" s="780">
        <v>3.9</v>
      </c>
      <c r="H70" s="777">
        <f t="shared" si="25"/>
        <v>11.7</v>
      </c>
      <c r="I70" s="774">
        <f t="shared" si="26"/>
        <v>9.1539999999999999</v>
      </c>
      <c r="J70" s="778">
        <f t="shared" si="36"/>
        <v>0.15</v>
      </c>
      <c r="K70" s="779">
        <f t="shared" si="27"/>
        <v>1.373</v>
      </c>
      <c r="L70" s="780">
        <v>0.2</v>
      </c>
      <c r="M70" s="775">
        <v>0.6</v>
      </c>
      <c r="N70" s="775">
        <f t="shared" si="28"/>
        <v>3</v>
      </c>
      <c r="O70" s="778">
        <f t="shared" si="29"/>
        <v>0.72</v>
      </c>
      <c r="P70" s="780">
        <f t="shared" si="37"/>
        <v>1</v>
      </c>
      <c r="Q70" s="775">
        <f t="shared" si="30"/>
        <v>3</v>
      </c>
      <c r="R70" s="775">
        <f t="shared" si="38"/>
        <v>0.2</v>
      </c>
      <c r="S70" s="779">
        <f t="shared" si="31"/>
        <v>0.6</v>
      </c>
      <c r="T70" s="781">
        <f t="shared" si="32"/>
        <v>2.6929999999999996</v>
      </c>
      <c r="X70" s="283"/>
      <c r="Y70" s="283"/>
      <c r="Z70" s="283"/>
      <c r="AA70" s="283"/>
      <c r="AB70" s="283"/>
      <c r="AC70" s="283"/>
      <c r="AD70" s="283"/>
      <c r="AE70" s="518"/>
      <c r="AF70"/>
      <c r="AG70"/>
      <c r="AH70"/>
      <c r="AI70"/>
      <c r="AJ70" s="744">
        <f t="shared" si="39"/>
        <v>34</v>
      </c>
      <c r="AK70" s="1590"/>
      <c r="AL70" s="1067"/>
      <c r="AM70" s="1067"/>
      <c r="AN70" s="1067"/>
      <c r="AO70"/>
      <c r="AP70"/>
      <c r="BT70" s="537"/>
    </row>
    <row r="71" spans="1:72" s="269" customFormat="1" ht="24">
      <c r="A71" s="283"/>
      <c r="B71" s="754"/>
      <c r="C71" s="755"/>
      <c r="D71" s="756">
        <v>2</v>
      </c>
      <c r="E71" s="757">
        <f>ROUND((22/7*($B$70+$C$70+$C$70)^2)/4*D71,3)</f>
        <v>5.0910000000000002</v>
      </c>
      <c r="F71" s="790">
        <v>5.55</v>
      </c>
      <c r="G71" s="762">
        <f>+G70</f>
        <v>3.9</v>
      </c>
      <c r="H71" s="760">
        <f t="shared" si="25"/>
        <v>21.645</v>
      </c>
      <c r="I71" s="757">
        <f t="shared" si="26"/>
        <v>16.553999999999998</v>
      </c>
      <c r="J71" s="718">
        <f t="shared" si="36"/>
        <v>0.15</v>
      </c>
      <c r="K71" s="761">
        <f t="shared" si="27"/>
        <v>2.4830000000000001</v>
      </c>
      <c r="L71" s="762">
        <v>0.2</v>
      </c>
      <c r="M71" s="758">
        <v>0.6</v>
      </c>
      <c r="N71" s="758">
        <f t="shared" si="28"/>
        <v>5.55</v>
      </c>
      <c r="O71" s="718">
        <f t="shared" si="29"/>
        <v>1.3320000000000001</v>
      </c>
      <c r="P71" s="762">
        <f t="shared" si="37"/>
        <v>1</v>
      </c>
      <c r="Q71" s="758">
        <f t="shared" si="30"/>
        <v>5.55</v>
      </c>
      <c r="R71" s="758">
        <f t="shared" si="38"/>
        <v>0.2</v>
      </c>
      <c r="S71" s="761">
        <f t="shared" si="31"/>
        <v>1.1100000000000001</v>
      </c>
      <c r="T71" s="763">
        <f t="shared" si="32"/>
        <v>4.9250000000000007</v>
      </c>
      <c r="X71" s="283"/>
      <c r="Y71" s="283"/>
      <c r="Z71" s="283"/>
      <c r="AA71" s="283"/>
      <c r="AB71" s="283"/>
      <c r="AC71" s="283"/>
      <c r="AD71" s="283"/>
      <c r="AE71" s="518"/>
      <c r="AF71"/>
      <c r="AG71"/>
      <c r="AH71"/>
      <c r="AI71"/>
      <c r="AJ71" s="744">
        <f t="shared" si="39"/>
        <v>35</v>
      </c>
      <c r="AK71" s="1590"/>
      <c r="AL71" s="1067"/>
      <c r="AM71" s="1067"/>
      <c r="AN71" s="1067"/>
      <c r="AO71"/>
      <c r="AP71"/>
      <c r="BT71" s="537"/>
    </row>
    <row r="72" spans="1:72" s="269" customFormat="1" ht="24.75" thickBot="1">
      <c r="A72" s="283"/>
      <c r="B72" s="782"/>
      <c r="C72" s="783"/>
      <c r="D72" s="764">
        <v>3</v>
      </c>
      <c r="E72" s="1663">
        <f>ROUND((22/7*($B$70+$C$70+$C$70)^2)/4*D72,3)</f>
        <v>7.6369999999999996</v>
      </c>
      <c r="F72" s="796">
        <v>8.1</v>
      </c>
      <c r="G72" s="771">
        <f>+G71</f>
        <v>3.9</v>
      </c>
      <c r="H72" s="768">
        <f t="shared" si="25"/>
        <v>31.589999999999996</v>
      </c>
      <c r="I72" s="765">
        <f t="shared" si="26"/>
        <v>23.952999999999996</v>
      </c>
      <c r="J72" s="769">
        <f t="shared" si="36"/>
        <v>0.15</v>
      </c>
      <c r="K72" s="770">
        <f t="shared" si="27"/>
        <v>3.593</v>
      </c>
      <c r="L72" s="771">
        <v>0.2</v>
      </c>
      <c r="M72" s="766">
        <v>0.6</v>
      </c>
      <c r="N72" s="766">
        <f t="shared" si="28"/>
        <v>8.1</v>
      </c>
      <c r="O72" s="769">
        <f t="shared" si="29"/>
        <v>1.944</v>
      </c>
      <c r="P72" s="771">
        <f t="shared" si="37"/>
        <v>1</v>
      </c>
      <c r="Q72" s="766">
        <f t="shared" si="30"/>
        <v>8.1</v>
      </c>
      <c r="R72" s="766">
        <f t="shared" si="38"/>
        <v>0.2</v>
      </c>
      <c r="S72" s="770">
        <f t="shared" si="31"/>
        <v>1.62</v>
      </c>
      <c r="T72" s="772">
        <f t="shared" si="32"/>
        <v>7.157</v>
      </c>
      <c r="X72" s="283"/>
      <c r="Y72" s="283"/>
      <c r="Z72" s="283"/>
      <c r="AA72" s="283"/>
      <c r="AB72" s="283"/>
      <c r="AC72" s="283"/>
      <c r="AD72" s="283"/>
      <c r="AE72" s="885"/>
      <c r="AF72"/>
      <c r="AG72"/>
      <c r="AH72"/>
      <c r="AI72"/>
      <c r="AO72"/>
      <c r="AP72"/>
      <c r="BT72" s="537"/>
    </row>
    <row r="73" spans="1:72" s="269" customFormat="1" ht="22.5" thickBot="1">
      <c r="A73" s="283"/>
      <c r="B73" s="283"/>
      <c r="C73" s="283"/>
      <c r="D73" s="2039"/>
      <c r="E73" s="2039"/>
      <c r="F73" s="2039"/>
      <c r="G73" s="2039"/>
      <c r="H73" s="2039"/>
      <c r="I73" s="2039"/>
      <c r="AE73" s="518"/>
      <c r="AF73"/>
      <c r="AG73"/>
      <c r="AH73"/>
      <c r="AI73"/>
      <c r="AO73"/>
      <c r="AP73"/>
      <c r="BT73" s="537"/>
    </row>
    <row r="74" spans="1:72" s="269" customFormat="1" ht="21.75" customHeight="1">
      <c r="A74" s="283"/>
      <c r="B74" s="2894" t="s">
        <v>1959</v>
      </c>
      <c r="C74" s="2895"/>
      <c r="D74" s="2846" t="s">
        <v>434</v>
      </c>
      <c r="E74" s="2847"/>
      <c r="F74" s="2847"/>
      <c r="G74" s="2847"/>
      <c r="H74" s="2847"/>
      <c r="I74" s="2848"/>
      <c r="J74" s="2846" t="s">
        <v>434</v>
      </c>
      <c r="K74" s="2847"/>
      <c r="L74" s="2847"/>
      <c r="M74" s="2847"/>
      <c r="N74" s="2847"/>
      <c r="O74" s="2848"/>
      <c r="P74" s="2875" t="s">
        <v>1958</v>
      </c>
      <c r="Q74" s="2876"/>
      <c r="R74" s="2876"/>
      <c r="S74" s="2876"/>
      <c r="T74" s="2876"/>
      <c r="U74" s="2876"/>
      <c r="V74" s="2876"/>
      <c r="W74" s="2876"/>
      <c r="X74" s="2876"/>
      <c r="Y74" s="2876"/>
      <c r="Z74" s="2877"/>
      <c r="AA74" s="1749" t="s">
        <v>543</v>
      </c>
      <c r="AB74" s="1749" t="s">
        <v>543</v>
      </c>
      <c r="AE74"/>
      <c r="AF74"/>
      <c r="AG74"/>
      <c r="AH74"/>
      <c r="AI74"/>
      <c r="AO74"/>
      <c r="AP74"/>
      <c r="BT74" s="537"/>
    </row>
    <row r="75" spans="1:72" s="269" customFormat="1" ht="24.75" thickBot="1">
      <c r="A75" s="437"/>
      <c r="B75" s="2896"/>
      <c r="C75" s="2897"/>
      <c r="D75" s="2869" t="s">
        <v>440</v>
      </c>
      <c r="E75" s="2870"/>
      <c r="F75" s="2870"/>
      <c r="G75" s="2870"/>
      <c r="H75" s="2870"/>
      <c r="I75" s="2871"/>
      <c r="J75" s="2869" t="s">
        <v>440</v>
      </c>
      <c r="K75" s="2870"/>
      <c r="L75" s="2870"/>
      <c r="M75" s="2870"/>
      <c r="N75" s="2870"/>
      <c r="O75" s="2871"/>
      <c r="P75" s="2872" t="s">
        <v>440</v>
      </c>
      <c r="Q75" s="2873"/>
      <c r="R75" s="2873"/>
      <c r="S75" s="2873"/>
      <c r="T75" s="2873"/>
      <c r="U75" s="2873"/>
      <c r="V75" s="2874"/>
      <c r="W75" s="2872" t="s">
        <v>444</v>
      </c>
      <c r="X75" s="2873"/>
      <c r="Y75" s="2873"/>
      <c r="Z75" s="2874"/>
      <c r="AA75" s="1750" t="s">
        <v>440</v>
      </c>
      <c r="AB75" s="1750" t="s">
        <v>444</v>
      </c>
      <c r="AE75"/>
      <c r="AF75"/>
      <c r="AG75"/>
      <c r="AH75"/>
      <c r="AJ75" s="1363">
        <v>1</v>
      </c>
      <c r="AK75" s="2155" t="s">
        <v>2019</v>
      </c>
      <c r="AL75" s="1203">
        <v>4890</v>
      </c>
      <c r="AM75" s="2153">
        <v>4890</v>
      </c>
      <c r="AN75" s="2153">
        <v>4890</v>
      </c>
      <c r="AO75"/>
      <c r="AP75"/>
      <c r="BT75" s="537"/>
    </row>
    <row r="76" spans="1:72" s="269" customFormat="1" ht="24.75" thickBot="1">
      <c r="A76" s="283"/>
      <c r="B76" s="1698" t="s">
        <v>431</v>
      </c>
      <c r="C76" s="1699" t="s">
        <v>432</v>
      </c>
      <c r="D76" s="2044" t="s">
        <v>433</v>
      </c>
      <c r="E76" s="2041" t="s">
        <v>422</v>
      </c>
      <c r="F76" s="2041" t="s">
        <v>1956</v>
      </c>
      <c r="G76" s="2041" t="s">
        <v>1957</v>
      </c>
      <c r="H76" s="2042" t="s">
        <v>441</v>
      </c>
      <c r="I76" s="2045" t="s">
        <v>442</v>
      </c>
      <c r="J76" s="2040" t="s">
        <v>280</v>
      </c>
      <c r="K76" s="2041" t="s">
        <v>422</v>
      </c>
      <c r="L76" s="2041" t="s">
        <v>1956</v>
      </c>
      <c r="M76" s="2041" t="s">
        <v>1957</v>
      </c>
      <c r="N76" s="2042" t="s">
        <v>441</v>
      </c>
      <c r="O76" s="2043" t="s">
        <v>442</v>
      </c>
      <c r="P76" s="1697" t="str">
        <f t="shared" ref="P76:P91" si="40">+D76</f>
        <v>B</v>
      </c>
      <c r="Q76" s="2041" t="s">
        <v>443</v>
      </c>
      <c r="R76" s="2041" t="s">
        <v>422</v>
      </c>
      <c r="S76" s="2041" t="s">
        <v>443</v>
      </c>
      <c r="T76" s="2041" t="s">
        <v>422</v>
      </c>
      <c r="U76" s="2042" t="s">
        <v>441</v>
      </c>
      <c r="V76" s="2043" t="s">
        <v>442</v>
      </c>
      <c r="W76" s="2041" t="s">
        <v>443</v>
      </c>
      <c r="X76" s="2041" t="s">
        <v>422</v>
      </c>
      <c r="Y76" s="2042" t="s">
        <v>441</v>
      </c>
      <c r="Z76" s="2043" t="s">
        <v>442</v>
      </c>
      <c r="AA76" s="1751" t="s">
        <v>544</v>
      </c>
      <c r="AB76" s="1751" t="s">
        <v>544</v>
      </c>
      <c r="AE76"/>
      <c r="AF76"/>
      <c r="AG76"/>
      <c r="AH76"/>
      <c r="AI76"/>
      <c r="AJ76" s="1363">
        <v>2</v>
      </c>
      <c r="AK76" s="2155" t="s">
        <v>2020</v>
      </c>
      <c r="AL76" s="2154">
        <f>2770*2+2120</f>
        <v>7660</v>
      </c>
      <c r="AM76" s="2154">
        <f t="shared" ref="AM76:AN76" si="41">2770*2+2120</f>
        <v>7660</v>
      </c>
      <c r="AN76" s="2154">
        <f t="shared" si="41"/>
        <v>7660</v>
      </c>
      <c r="AO76"/>
      <c r="AP76"/>
      <c r="BT76" s="537"/>
    </row>
    <row r="77" spans="1:72" s="269" customFormat="1">
      <c r="A77" s="283"/>
      <c r="B77" s="1707">
        <v>0.6</v>
      </c>
      <c r="C77" s="1645">
        <v>1</v>
      </c>
      <c r="D77" s="784">
        <f t="shared" ref="D77:D91" si="42">+F58</f>
        <v>1.95</v>
      </c>
      <c r="E77" s="778">
        <f t="shared" ref="E77:E91" si="43">+ROUND(D77/0.25+1,)</f>
        <v>9</v>
      </c>
      <c r="F77" s="752">
        <f>+ROUND($B$77/0.25,)*$B$77</f>
        <v>1.2</v>
      </c>
      <c r="G77" s="753">
        <f>+J77*E77-F77</f>
        <v>16.350000000000001</v>
      </c>
      <c r="H77" s="788">
        <v>0.499</v>
      </c>
      <c r="I77" s="789">
        <f>+ROUND(G77*H77,4)</f>
        <v>8.1586999999999996</v>
      </c>
      <c r="J77" s="776">
        <f t="shared" ref="J77:J91" si="44">+G58</f>
        <v>1.95</v>
      </c>
      <c r="K77" s="778">
        <f t="shared" ref="K77:K91" si="45">+ROUND(J77/0.25+1,)</f>
        <v>9</v>
      </c>
      <c r="L77" s="753">
        <f>+$B$77/0.25*2*$B$77</f>
        <v>2.88</v>
      </c>
      <c r="M77" s="778">
        <f>+K77*D77-L77</f>
        <v>14.670000000000002</v>
      </c>
      <c r="N77" s="788">
        <v>0.499</v>
      </c>
      <c r="O77" s="789">
        <f>+ROUND(M77*N77,4)</f>
        <v>7.3202999999999996</v>
      </c>
      <c r="P77" s="787">
        <f t="shared" si="40"/>
        <v>1.95</v>
      </c>
      <c r="Q77" s="775">
        <v>2.42</v>
      </c>
      <c r="R77" s="778">
        <f>+ROUND(P77/0.25+1,)</f>
        <v>9</v>
      </c>
      <c r="S77" s="775">
        <f t="shared" ref="S77:S91" si="46">+P77</f>
        <v>1.95</v>
      </c>
      <c r="T77" s="778">
        <v>2</v>
      </c>
      <c r="U77" s="788">
        <v>0.499</v>
      </c>
      <c r="V77" s="789">
        <f>+ROUND((Q77*R77+S77*T77)*U77,3)</f>
        <v>12.814</v>
      </c>
      <c r="W77" s="775">
        <f t="shared" ref="W77:W91" si="47">+P77</f>
        <v>1.95</v>
      </c>
      <c r="X77" s="778">
        <v>4</v>
      </c>
      <c r="Y77" s="785">
        <v>0.88800000000000001</v>
      </c>
      <c r="Z77" s="786">
        <f>+ROUND(W77*X77*Y77,3)</f>
        <v>6.9260000000000002</v>
      </c>
      <c r="AA77" s="786">
        <f>+ROUND((O77+V77)*1.07,4)</f>
        <v>21.543700000000001</v>
      </c>
      <c r="AB77" s="789">
        <f t="shared" ref="AB77:AB91" si="48">+Z77</f>
        <v>6.9260000000000002</v>
      </c>
      <c r="AE77"/>
      <c r="AF77"/>
      <c r="AG77"/>
      <c r="AH77"/>
      <c r="AI77"/>
      <c r="AJ77" s="1363">
        <v>2</v>
      </c>
      <c r="AK77" s="2152" t="str">
        <f>+VLOOKUP(AJ77,AJ75:AK76,2)</f>
        <v>ป้ายจราจรแบบ ต 63,ต 66 (2 แผ่นป้ายต่อชุด)</v>
      </c>
      <c r="AL77" s="2156">
        <f>+VLOOKUP(AJ77,AJ75:AL76,3)</f>
        <v>7660</v>
      </c>
      <c r="AM77"/>
      <c r="AN77"/>
      <c r="AO77"/>
      <c r="AP77"/>
      <c r="BT77" s="537"/>
    </row>
    <row r="78" spans="1:72" s="269" customFormat="1">
      <c r="A78" s="283"/>
      <c r="B78" s="1708"/>
      <c r="C78" s="756">
        <v>2</v>
      </c>
      <c r="D78" s="790">
        <f t="shared" si="42"/>
        <v>3</v>
      </c>
      <c r="E78" s="718">
        <f t="shared" si="43"/>
        <v>13</v>
      </c>
      <c r="F78" s="752">
        <f>+ROUND($B$77/0.25,)*$B$77</f>
        <v>1.2</v>
      </c>
      <c r="G78" s="718">
        <f t="shared" ref="G78:G91" si="49">+J78*E78-F78</f>
        <v>24.15</v>
      </c>
      <c r="H78" s="794">
        <v>0.499</v>
      </c>
      <c r="I78" s="795">
        <f t="shared" ref="I78:I91" si="50">+ROUND(G78*H78,4)</f>
        <v>12.0509</v>
      </c>
      <c r="J78" s="759">
        <f t="shared" si="44"/>
        <v>1.95</v>
      </c>
      <c r="K78" s="718">
        <f t="shared" si="45"/>
        <v>9</v>
      </c>
      <c r="L78" s="718">
        <f t="shared" ref="L78:L79" si="51">+$B$77/0.25*2*$B$77</f>
        <v>2.88</v>
      </c>
      <c r="M78" s="753">
        <f t="shared" ref="M78:M91" si="52">+K78*D78-L78</f>
        <v>24.12</v>
      </c>
      <c r="N78" s="794">
        <v>0.499</v>
      </c>
      <c r="O78" s="795">
        <f t="shared" ref="O78:O91" si="53">+ROUND(M78*N78,4)</f>
        <v>12.0359</v>
      </c>
      <c r="P78" s="793">
        <f t="shared" si="40"/>
        <v>3</v>
      </c>
      <c r="Q78" s="758">
        <f>+Q77</f>
        <v>2.42</v>
      </c>
      <c r="R78" s="718">
        <f>+ROUND(P78/0.25+1,)</f>
        <v>13</v>
      </c>
      <c r="S78" s="758">
        <f t="shared" si="46"/>
        <v>3</v>
      </c>
      <c r="T78" s="718">
        <v>2</v>
      </c>
      <c r="U78" s="794">
        <v>0.499</v>
      </c>
      <c r="V78" s="795">
        <f t="shared" ref="V78:V91" si="54">+ROUND((Q78*R78+S78*T78)*U78,3)</f>
        <v>18.693000000000001</v>
      </c>
      <c r="W78" s="758">
        <f t="shared" si="47"/>
        <v>3</v>
      </c>
      <c r="X78" s="718">
        <v>4</v>
      </c>
      <c r="Y78" s="791">
        <f>+Y77</f>
        <v>0.88800000000000001</v>
      </c>
      <c r="Z78" s="792">
        <f t="shared" ref="Z78:Z91" si="55">+ROUND(W78*X78*Y78,3)</f>
        <v>10.656000000000001</v>
      </c>
      <c r="AA78" s="792">
        <f t="shared" ref="AA78:AA91" si="56">+ROUND((O78+V78)*1.07,4)</f>
        <v>32.879899999999999</v>
      </c>
      <c r="AB78" s="795">
        <f t="shared" si="48"/>
        <v>10.656000000000001</v>
      </c>
      <c r="AE78"/>
      <c r="AF78"/>
      <c r="AG78"/>
      <c r="AH78"/>
      <c r="AI78"/>
      <c r="AJ78"/>
      <c r="AK78"/>
      <c r="AL78"/>
      <c r="AM78"/>
      <c r="AN78"/>
      <c r="AO78"/>
      <c r="AP78"/>
      <c r="BT78" s="537"/>
    </row>
    <row r="79" spans="1:72" s="269" customFormat="1" ht="22.5" thickBot="1">
      <c r="A79" s="283"/>
      <c r="B79" s="1709"/>
      <c r="C79" s="764">
        <v>3</v>
      </c>
      <c r="D79" s="796">
        <f t="shared" si="42"/>
        <v>4.05</v>
      </c>
      <c r="E79" s="769">
        <f t="shared" si="43"/>
        <v>17</v>
      </c>
      <c r="F79" s="766">
        <f>+ROUND($B$77/0.25,)*$B$77</f>
        <v>1.2</v>
      </c>
      <c r="G79" s="769">
        <f t="shared" si="49"/>
        <v>31.95</v>
      </c>
      <c r="H79" s="800">
        <v>0.499</v>
      </c>
      <c r="I79" s="801">
        <f t="shared" si="50"/>
        <v>15.943099999999999</v>
      </c>
      <c r="J79" s="767">
        <f t="shared" si="44"/>
        <v>1.95</v>
      </c>
      <c r="K79" s="769">
        <f t="shared" si="45"/>
        <v>9</v>
      </c>
      <c r="L79" s="769">
        <f t="shared" si="51"/>
        <v>2.88</v>
      </c>
      <c r="M79" s="2035">
        <f t="shared" si="52"/>
        <v>33.569999999999993</v>
      </c>
      <c r="N79" s="800">
        <v>0.499</v>
      </c>
      <c r="O79" s="801">
        <f t="shared" si="53"/>
        <v>16.7514</v>
      </c>
      <c r="P79" s="799">
        <f t="shared" si="40"/>
        <v>4.05</v>
      </c>
      <c r="Q79" s="766">
        <f>+Q78</f>
        <v>2.42</v>
      </c>
      <c r="R79" s="769">
        <f>+ROUND(P79/0.25+1,)</f>
        <v>17</v>
      </c>
      <c r="S79" s="766">
        <f t="shared" si="46"/>
        <v>4.05</v>
      </c>
      <c r="T79" s="769">
        <v>2</v>
      </c>
      <c r="U79" s="800">
        <v>0.499</v>
      </c>
      <c r="V79" s="801">
        <f t="shared" si="54"/>
        <v>24.571000000000002</v>
      </c>
      <c r="W79" s="766">
        <f t="shared" si="47"/>
        <v>4.05</v>
      </c>
      <c r="X79" s="769">
        <v>4</v>
      </c>
      <c r="Y79" s="797">
        <f>+Y78</f>
        <v>0.88800000000000001</v>
      </c>
      <c r="Z79" s="798">
        <f t="shared" si="55"/>
        <v>14.385999999999999</v>
      </c>
      <c r="AA79" s="798">
        <f t="shared" si="56"/>
        <v>44.215000000000003</v>
      </c>
      <c r="AB79" s="801">
        <f t="shared" si="48"/>
        <v>14.385999999999999</v>
      </c>
      <c r="AE79"/>
      <c r="AF79"/>
      <c r="AG79"/>
      <c r="AH79"/>
      <c r="AI79"/>
      <c r="AJ79"/>
      <c r="AK79"/>
      <c r="AL79"/>
      <c r="AM79"/>
      <c r="AN79"/>
      <c r="AO79"/>
      <c r="AP79"/>
      <c r="BT79" s="537"/>
    </row>
    <row r="80" spans="1:72" s="269" customFormat="1" ht="23.25" customHeight="1">
      <c r="A80" s="283"/>
      <c r="B80" s="1710">
        <v>0.8</v>
      </c>
      <c r="C80" s="773">
        <v>1</v>
      </c>
      <c r="D80" s="784">
        <f t="shared" si="42"/>
        <v>2.19</v>
      </c>
      <c r="E80" s="778">
        <f t="shared" si="43"/>
        <v>10</v>
      </c>
      <c r="F80" s="752">
        <f>+ROUND($B$80/0.25,)*$B$80</f>
        <v>2.4000000000000004</v>
      </c>
      <c r="G80" s="718">
        <f>+J80*E80-F80</f>
        <v>21.5</v>
      </c>
      <c r="H80" s="788">
        <v>0.499</v>
      </c>
      <c r="I80" s="789">
        <f>+ROUND(G80*H80,4)</f>
        <v>10.7285</v>
      </c>
      <c r="J80" s="776">
        <f t="shared" si="44"/>
        <v>2.39</v>
      </c>
      <c r="K80" s="778">
        <f t="shared" si="45"/>
        <v>11</v>
      </c>
      <c r="L80" s="753">
        <f>+$B$80/0.25*2*$B$80</f>
        <v>5.120000000000001</v>
      </c>
      <c r="M80" s="778">
        <f>+K80*D80-L80</f>
        <v>18.97</v>
      </c>
      <c r="N80" s="788">
        <v>0.499</v>
      </c>
      <c r="O80" s="789">
        <f>+ROUND(M80*N80,4)</f>
        <v>9.4659999999999993</v>
      </c>
      <c r="P80" s="787">
        <f t="shared" si="40"/>
        <v>2.19</v>
      </c>
      <c r="Q80" s="775">
        <v>2.42</v>
      </c>
      <c r="R80" s="778">
        <f t="shared" ref="R80:R91" si="57">+ROUND(P80/0.25+1,)*2</f>
        <v>20</v>
      </c>
      <c r="S80" s="775">
        <f t="shared" si="46"/>
        <v>2.19</v>
      </c>
      <c r="T80" s="778">
        <v>2</v>
      </c>
      <c r="U80" s="788">
        <v>0.499</v>
      </c>
      <c r="V80" s="789">
        <f>+ROUND((Q80*R80+S80*T80)*U80,3)</f>
        <v>26.337</v>
      </c>
      <c r="W80" s="775">
        <f t="shared" si="47"/>
        <v>2.19</v>
      </c>
      <c r="X80" s="778">
        <v>4</v>
      </c>
      <c r="Y80" s="788">
        <v>0.88800000000000001</v>
      </c>
      <c r="Z80" s="786">
        <f>+ROUND(W80*X80*Y80,3)</f>
        <v>7.7789999999999999</v>
      </c>
      <c r="AA80" s="786">
        <f>+ROUND((O80+V80)*1.07,4)</f>
        <v>38.309199999999997</v>
      </c>
      <c r="AB80" s="789">
        <f t="shared" si="48"/>
        <v>7.7789999999999999</v>
      </c>
      <c r="AE80"/>
      <c r="AF80"/>
      <c r="AG80"/>
      <c r="AH80"/>
      <c r="AI80"/>
      <c r="AJ80"/>
      <c r="AK80"/>
      <c r="AL80"/>
      <c r="AM80"/>
      <c r="AN80"/>
      <c r="AO80"/>
      <c r="AP80"/>
      <c r="BT80" s="537"/>
    </row>
    <row r="81" spans="1:72" s="269" customFormat="1">
      <c r="A81" s="283"/>
      <c r="B81" s="1708"/>
      <c r="C81" s="756">
        <v>2</v>
      </c>
      <c r="D81" s="790">
        <f t="shared" si="42"/>
        <v>3.58</v>
      </c>
      <c r="E81" s="718">
        <f t="shared" si="43"/>
        <v>15</v>
      </c>
      <c r="F81" s="752">
        <f>+ROUND($B$80/0.25,)*$B$80</f>
        <v>2.4000000000000004</v>
      </c>
      <c r="G81" s="718">
        <f t="shared" si="49"/>
        <v>33.450000000000003</v>
      </c>
      <c r="H81" s="794">
        <v>0.499</v>
      </c>
      <c r="I81" s="795">
        <f t="shared" si="50"/>
        <v>16.691600000000001</v>
      </c>
      <c r="J81" s="759">
        <f t="shared" si="44"/>
        <v>2.39</v>
      </c>
      <c r="K81" s="718">
        <f t="shared" si="45"/>
        <v>11</v>
      </c>
      <c r="L81" s="753">
        <f t="shared" ref="L81:L82" si="58">+$B$80/0.25*2*$B$80</f>
        <v>5.120000000000001</v>
      </c>
      <c r="M81" s="753">
        <f t="shared" si="52"/>
        <v>34.260000000000005</v>
      </c>
      <c r="N81" s="794">
        <v>0.499</v>
      </c>
      <c r="O81" s="795">
        <f t="shared" si="53"/>
        <v>17.095700000000001</v>
      </c>
      <c r="P81" s="793">
        <f t="shared" si="40"/>
        <v>3.58</v>
      </c>
      <c r="Q81" s="758">
        <f>+Q80</f>
        <v>2.42</v>
      </c>
      <c r="R81" s="718">
        <f t="shared" si="57"/>
        <v>30</v>
      </c>
      <c r="S81" s="758">
        <f t="shared" si="46"/>
        <v>3.58</v>
      </c>
      <c r="T81" s="718">
        <v>2</v>
      </c>
      <c r="U81" s="794">
        <v>0.499</v>
      </c>
      <c r="V81" s="795">
        <f t="shared" si="54"/>
        <v>39.799999999999997</v>
      </c>
      <c r="W81" s="758">
        <f t="shared" si="47"/>
        <v>3.58</v>
      </c>
      <c r="X81" s="718">
        <v>4</v>
      </c>
      <c r="Y81" s="794">
        <f>+Y80</f>
        <v>0.88800000000000001</v>
      </c>
      <c r="Z81" s="792">
        <f t="shared" si="55"/>
        <v>12.715999999999999</v>
      </c>
      <c r="AA81" s="792">
        <f t="shared" si="56"/>
        <v>60.878399999999999</v>
      </c>
      <c r="AB81" s="795">
        <f t="shared" si="48"/>
        <v>12.715999999999999</v>
      </c>
      <c r="AE81"/>
      <c r="AF81"/>
      <c r="AG81"/>
      <c r="AH81"/>
      <c r="AI81"/>
      <c r="AJ81"/>
      <c r="AK81"/>
      <c r="AL81"/>
      <c r="AM81"/>
      <c r="AN81"/>
      <c r="AO81"/>
      <c r="AP81"/>
      <c r="BT81" s="537"/>
    </row>
    <row r="82" spans="1:72" s="269" customFormat="1" ht="22.5" thickBot="1">
      <c r="A82" s="283"/>
      <c r="B82" s="1709"/>
      <c r="C82" s="764">
        <v>3</v>
      </c>
      <c r="D82" s="796">
        <f t="shared" si="42"/>
        <v>4.97</v>
      </c>
      <c r="E82" s="769">
        <f t="shared" si="43"/>
        <v>21</v>
      </c>
      <c r="F82" s="766">
        <f>+ROUND($B$80/0.25,)*$B$80</f>
        <v>2.4000000000000004</v>
      </c>
      <c r="G82" s="769">
        <f t="shared" si="49"/>
        <v>47.790000000000006</v>
      </c>
      <c r="H82" s="800">
        <v>0.499</v>
      </c>
      <c r="I82" s="801">
        <f t="shared" si="50"/>
        <v>23.847200000000001</v>
      </c>
      <c r="J82" s="767">
        <f t="shared" si="44"/>
        <v>2.39</v>
      </c>
      <c r="K82" s="769">
        <f t="shared" si="45"/>
        <v>11</v>
      </c>
      <c r="L82" s="769">
        <f t="shared" si="58"/>
        <v>5.120000000000001</v>
      </c>
      <c r="M82" s="2035">
        <f t="shared" si="52"/>
        <v>49.55</v>
      </c>
      <c r="N82" s="800">
        <v>0.499</v>
      </c>
      <c r="O82" s="801">
        <f t="shared" si="53"/>
        <v>24.7255</v>
      </c>
      <c r="P82" s="799">
        <f t="shared" si="40"/>
        <v>4.97</v>
      </c>
      <c r="Q82" s="766">
        <f>+Q81</f>
        <v>2.42</v>
      </c>
      <c r="R82" s="769">
        <f t="shared" si="57"/>
        <v>42</v>
      </c>
      <c r="S82" s="766">
        <f t="shared" si="46"/>
        <v>4.97</v>
      </c>
      <c r="T82" s="769">
        <v>2</v>
      </c>
      <c r="U82" s="800">
        <v>0.499</v>
      </c>
      <c r="V82" s="801">
        <f t="shared" si="54"/>
        <v>55.677999999999997</v>
      </c>
      <c r="W82" s="766">
        <f t="shared" si="47"/>
        <v>4.97</v>
      </c>
      <c r="X82" s="769">
        <v>4</v>
      </c>
      <c r="Y82" s="800">
        <f>+Y81</f>
        <v>0.88800000000000001</v>
      </c>
      <c r="Z82" s="798">
        <f t="shared" si="55"/>
        <v>17.652999999999999</v>
      </c>
      <c r="AA82" s="798">
        <f t="shared" si="56"/>
        <v>86.031700000000001</v>
      </c>
      <c r="AB82" s="801">
        <f t="shared" si="48"/>
        <v>17.652999999999999</v>
      </c>
      <c r="AE82"/>
      <c r="AF82"/>
      <c r="AG82"/>
      <c r="AH82"/>
      <c r="AI82"/>
      <c r="AJ82"/>
      <c r="AK82"/>
      <c r="AL82"/>
      <c r="AM82"/>
      <c r="AN82"/>
      <c r="AO82"/>
      <c r="AP82"/>
      <c r="BT82" s="537"/>
    </row>
    <row r="83" spans="1:72" s="269" customFormat="1">
      <c r="A83" s="283"/>
      <c r="B83" s="1710">
        <v>1</v>
      </c>
      <c r="C83" s="773">
        <v>1</v>
      </c>
      <c r="D83" s="784">
        <f t="shared" si="42"/>
        <v>2.42</v>
      </c>
      <c r="E83" s="778">
        <f t="shared" si="43"/>
        <v>11</v>
      </c>
      <c r="F83" s="752">
        <f>+ROUND($B$83/0.25,)*$B$83</f>
        <v>4</v>
      </c>
      <c r="G83" s="718">
        <f>+J83*E83-F83</f>
        <v>27.02</v>
      </c>
      <c r="H83" s="788">
        <v>0.499</v>
      </c>
      <c r="I83" s="789">
        <f>+ROUND(G83*H83,4)</f>
        <v>13.483000000000001</v>
      </c>
      <c r="J83" s="776">
        <f t="shared" si="44"/>
        <v>2.82</v>
      </c>
      <c r="K83" s="778">
        <f t="shared" si="45"/>
        <v>12</v>
      </c>
      <c r="L83" s="752">
        <f>+$B$83/0.25*$B$83</f>
        <v>4</v>
      </c>
      <c r="M83" s="778">
        <f>+K83*D83-L83</f>
        <v>25.04</v>
      </c>
      <c r="N83" s="788">
        <v>0.499</v>
      </c>
      <c r="O83" s="789">
        <f>+ROUND(M83*N83,4)</f>
        <v>12.494999999999999</v>
      </c>
      <c r="P83" s="787">
        <f t="shared" si="40"/>
        <v>2.42</v>
      </c>
      <c r="Q83" s="775">
        <v>2.42</v>
      </c>
      <c r="R83" s="778">
        <f t="shared" si="57"/>
        <v>22</v>
      </c>
      <c r="S83" s="775">
        <f t="shared" si="46"/>
        <v>2.42</v>
      </c>
      <c r="T83" s="778">
        <v>2</v>
      </c>
      <c r="U83" s="802">
        <v>0.499</v>
      </c>
      <c r="V83" s="789">
        <f>+ROUND((Q83*R83+S83*T83)*U83,3)</f>
        <v>28.981999999999999</v>
      </c>
      <c r="W83" s="775">
        <f t="shared" si="47"/>
        <v>2.42</v>
      </c>
      <c r="X83" s="778">
        <v>4</v>
      </c>
      <c r="Y83" s="788">
        <v>0.88800000000000001</v>
      </c>
      <c r="Z83" s="786">
        <f>+ROUND(W83*X83*Y83,3)</f>
        <v>8.5960000000000001</v>
      </c>
      <c r="AA83" s="786">
        <f>+ROUND((O83+V83)*1.07,4)</f>
        <v>44.380400000000002</v>
      </c>
      <c r="AB83" s="789">
        <f t="shared" si="48"/>
        <v>8.5960000000000001</v>
      </c>
      <c r="AE83"/>
      <c r="AF83"/>
      <c r="AG83"/>
      <c r="AH83"/>
      <c r="AI83"/>
      <c r="AJ83"/>
      <c r="AK83"/>
      <c r="AL83"/>
      <c r="AM83"/>
      <c r="AN83"/>
      <c r="AO83"/>
      <c r="AP83"/>
      <c r="BT83" s="537"/>
    </row>
    <row r="84" spans="1:72" s="269" customFormat="1">
      <c r="A84" s="283"/>
      <c r="B84" s="1708"/>
      <c r="C84" s="756">
        <v>2</v>
      </c>
      <c r="D84" s="790">
        <f t="shared" si="42"/>
        <v>4.1399999999999997</v>
      </c>
      <c r="E84" s="718">
        <f t="shared" si="43"/>
        <v>18</v>
      </c>
      <c r="F84" s="752">
        <f t="shared" ref="F84:F85" si="59">+ROUND($B$83/0.25,)*$B$83</f>
        <v>4</v>
      </c>
      <c r="G84" s="718">
        <f t="shared" si="49"/>
        <v>46.76</v>
      </c>
      <c r="H84" s="794">
        <v>0.499</v>
      </c>
      <c r="I84" s="795">
        <f t="shared" si="50"/>
        <v>23.333200000000001</v>
      </c>
      <c r="J84" s="759">
        <f t="shared" si="44"/>
        <v>2.82</v>
      </c>
      <c r="K84" s="718">
        <f t="shared" si="45"/>
        <v>12</v>
      </c>
      <c r="L84" s="752">
        <f>+$B$83/0.25*$B$83</f>
        <v>4</v>
      </c>
      <c r="M84" s="753">
        <f t="shared" si="52"/>
        <v>45.679999999999993</v>
      </c>
      <c r="N84" s="794">
        <v>0.499</v>
      </c>
      <c r="O84" s="795">
        <f t="shared" si="53"/>
        <v>22.7943</v>
      </c>
      <c r="P84" s="793">
        <f t="shared" si="40"/>
        <v>4.1399999999999997</v>
      </c>
      <c r="Q84" s="758">
        <f>+Q83</f>
        <v>2.42</v>
      </c>
      <c r="R84" s="718">
        <f t="shared" si="57"/>
        <v>36</v>
      </c>
      <c r="S84" s="758">
        <f t="shared" si="46"/>
        <v>4.1399999999999997</v>
      </c>
      <c r="T84" s="718">
        <v>2</v>
      </c>
      <c r="U84" s="794">
        <v>0.499</v>
      </c>
      <c r="V84" s="795">
        <f t="shared" si="54"/>
        <v>47.604999999999997</v>
      </c>
      <c r="W84" s="758">
        <f t="shared" si="47"/>
        <v>4.1399999999999997</v>
      </c>
      <c r="X84" s="718">
        <v>4</v>
      </c>
      <c r="Y84" s="794">
        <f>+Y83</f>
        <v>0.88800000000000001</v>
      </c>
      <c r="Z84" s="792">
        <f t="shared" si="55"/>
        <v>14.705</v>
      </c>
      <c r="AA84" s="792">
        <f t="shared" si="56"/>
        <v>75.327299999999994</v>
      </c>
      <c r="AB84" s="795">
        <f t="shared" si="48"/>
        <v>14.705</v>
      </c>
      <c r="AE84"/>
      <c r="AF84"/>
      <c r="AG84"/>
      <c r="AH84"/>
      <c r="AI84"/>
      <c r="AJ84"/>
      <c r="AK84"/>
      <c r="AL84"/>
      <c r="AM84"/>
      <c r="AN84"/>
      <c r="AO84"/>
      <c r="AP84"/>
      <c r="BT84" s="537"/>
    </row>
    <row r="85" spans="1:72" s="269" customFormat="1" ht="22.5" thickBot="1">
      <c r="A85" s="283"/>
      <c r="B85" s="1709"/>
      <c r="C85" s="764">
        <v>3</v>
      </c>
      <c r="D85" s="796">
        <f t="shared" si="42"/>
        <v>5.86</v>
      </c>
      <c r="E85" s="769">
        <f t="shared" si="43"/>
        <v>24</v>
      </c>
      <c r="F85" s="766">
        <f t="shared" si="59"/>
        <v>4</v>
      </c>
      <c r="G85" s="769">
        <f t="shared" si="49"/>
        <v>63.679999999999993</v>
      </c>
      <c r="H85" s="800">
        <v>0.499</v>
      </c>
      <c r="I85" s="801">
        <f t="shared" si="50"/>
        <v>31.776299999999999</v>
      </c>
      <c r="J85" s="767">
        <f t="shared" si="44"/>
        <v>2.82</v>
      </c>
      <c r="K85" s="769">
        <f t="shared" si="45"/>
        <v>12</v>
      </c>
      <c r="L85" s="766">
        <f>+$B$83/0.25*$B$83</f>
        <v>4</v>
      </c>
      <c r="M85" s="2035">
        <f t="shared" si="52"/>
        <v>66.320000000000007</v>
      </c>
      <c r="N85" s="800">
        <v>0.499</v>
      </c>
      <c r="O85" s="801">
        <f t="shared" si="53"/>
        <v>33.093699999999998</v>
      </c>
      <c r="P85" s="799">
        <f t="shared" si="40"/>
        <v>5.86</v>
      </c>
      <c r="Q85" s="766">
        <f>+Q84</f>
        <v>2.42</v>
      </c>
      <c r="R85" s="769">
        <f t="shared" si="57"/>
        <v>48</v>
      </c>
      <c r="S85" s="766">
        <f t="shared" si="46"/>
        <v>5.86</v>
      </c>
      <c r="T85" s="769">
        <v>2</v>
      </c>
      <c r="U85" s="800">
        <v>0.499</v>
      </c>
      <c r="V85" s="801">
        <f t="shared" si="54"/>
        <v>63.811999999999998</v>
      </c>
      <c r="W85" s="766">
        <f t="shared" si="47"/>
        <v>5.86</v>
      </c>
      <c r="X85" s="769">
        <v>4</v>
      </c>
      <c r="Y85" s="800">
        <f>+Y84</f>
        <v>0.88800000000000001</v>
      </c>
      <c r="Z85" s="798">
        <f t="shared" si="55"/>
        <v>20.815000000000001</v>
      </c>
      <c r="AA85" s="798">
        <f t="shared" si="56"/>
        <v>103.6891</v>
      </c>
      <c r="AB85" s="801">
        <f t="shared" si="48"/>
        <v>20.815000000000001</v>
      </c>
      <c r="AE85"/>
      <c r="AF85"/>
      <c r="AG85"/>
      <c r="AH85"/>
      <c r="AI85"/>
      <c r="AJ85"/>
      <c r="AK85"/>
      <c r="AL85"/>
      <c r="AM85"/>
      <c r="AN85"/>
      <c r="AO85"/>
      <c r="AP85"/>
      <c r="BT85" s="537"/>
    </row>
    <row r="86" spans="1:72" s="269" customFormat="1">
      <c r="A86" s="283"/>
      <c r="B86" s="1710">
        <v>1.2</v>
      </c>
      <c r="C86" s="773">
        <v>1</v>
      </c>
      <c r="D86" s="784">
        <f t="shared" si="42"/>
        <v>2.65</v>
      </c>
      <c r="E86" s="2036">
        <f t="shared" si="43"/>
        <v>12</v>
      </c>
      <c r="F86" s="752">
        <f>+ROUND($B$86/0.25,)*$B$86</f>
        <v>6</v>
      </c>
      <c r="G86" s="778">
        <f>+J86*E86-F86</f>
        <v>33</v>
      </c>
      <c r="H86" s="788">
        <v>0.499</v>
      </c>
      <c r="I86" s="789">
        <f>+ROUND(G86*H86,4)</f>
        <v>16.466999999999999</v>
      </c>
      <c r="J86" s="776">
        <f t="shared" si="44"/>
        <v>3.25</v>
      </c>
      <c r="K86" s="778">
        <f t="shared" si="45"/>
        <v>14</v>
      </c>
      <c r="L86" s="775">
        <f>+$B$86/0.25*2*$B$86</f>
        <v>11.52</v>
      </c>
      <c r="M86" s="778">
        <f>+K86*D86-L86</f>
        <v>25.580000000000002</v>
      </c>
      <c r="N86" s="788">
        <v>0.499</v>
      </c>
      <c r="O86" s="789">
        <f>+ROUND(M86*N86,4)</f>
        <v>12.7644</v>
      </c>
      <c r="P86" s="787">
        <f t="shared" si="40"/>
        <v>2.65</v>
      </c>
      <c r="Q86" s="775">
        <v>2.42</v>
      </c>
      <c r="R86" s="778">
        <f t="shared" si="57"/>
        <v>24</v>
      </c>
      <c r="S86" s="775">
        <f t="shared" si="46"/>
        <v>2.65</v>
      </c>
      <c r="T86" s="778">
        <v>2</v>
      </c>
      <c r="U86" s="802">
        <v>0.499</v>
      </c>
      <c r="V86" s="789">
        <f>+ROUND((Q86*R86+S86*T86)*U86,3)</f>
        <v>31.626999999999999</v>
      </c>
      <c r="W86" s="775">
        <f t="shared" si="47"/>
        <v>2.65</v>
      </c>
      <c r="X86" s="778">
        <v>4</v>
      </c>
      <c r="Y86" s="788">
        <v>0.88800000000000001</v>
      </c>
      <c r="Z86" s="786">
        <f>+ROUND(W86*X86*Y86,3)</f>
        <v>9.4130000000000003</v>
      </c>
      <c r="AA86" s="786">
        <f>+ROUND((O86+V86)*1.07,4)</f>
        <v>47.498800000000003</v>
      </c>
      <c r="AB86" s="789">
        <f t="shared" si="48"/>
        <v>9.4130000000000003</v>
      </c>
      <c r="AE86"/>
      <c r="AF86"/>
      <c r="AG86"/>
      <c r="AH86"/>
      <c r="AI86"/>
      <c r="AJ86"/>
      <c r="AK86"/>
      <c r="AL86"/>
      <c r="AM86"/>
      <c r="AN86"/>
      <c r="AO86"/>
      <c r="AP86"/>
      <c r="BT86" s="537"/>
    </row>
    <row r="87" spans="1:72" s="269" customFormat="1">
      <c r="A87" s="283"/>
      <c r="B87" s="1708"/>
      <c r="C87" s="756">
        <v>2</v>
      </c>
      <c r="D87" s="790">
        <f t="shared" si="42"/>
        <v>4.7</v>
      </c>
      <c r="E87" s="2037">
        <f t="shared" si="43"/>
        <v>20</v>
      </c>
      <c r="F87" s="752">
        <f t="shared" ref="F87:F88" si="60">+ROUND($B$86/0.25,)*$B$86</f>
        <v>6</v>
      </c>
      <c r="G87" s="718">
        <f t="shared" si="49"/>
        <v>59</v>
      </c>
      <c r="H87" s="794">
        <v>0.499</v>
      </c>
      <c r="I87" s="795">
        <f t="shared" si="50"/>
        <v>29.440999999999999</v>
      </c>
      <c r="J87" s="759">
        <f t="shared" si="44"/>
        <v>3.25</v>
      </c>
      <c r="K87" s="718">
        <f t="shared" si="45"/>
        <v>14</v>
      </c>
      <c r="L87" s="752">
        <f t="shared" ref="L87:L88" si="61">+$B$86/0.25*2*$B$86</f>
        <v>11.52</v>
      </c>
      <c r="M87" s="753">
        <f t="shared" si="52"/>
        <v>54.28</v>
      </c>
      <c r="N87" s="794">
        <v>0.499</v>
      </c>
      <c r="O87" s="795">
        <f t="shared" si="53"/>
        <v>27.085699999999999</v>
      </c>
      <c r="P87" s="793">
        <f t="shared" si="40"/>
        <v>4.7</v>
      </c>
      <c r="Q87" s="758">
        <f>+Q86</f>
        <v>2.42</v>
      </c>
      <c r="R87" s="718">
        <f t="shared" si="57"/>
        <v>40</v>
      </c>
      <c r="S87" s="758">
        <f t="shared" si="46"/>
        <v>4.7</v>
      </c>
      <c r="T87" s="718">
        <v>2</v>
      </c>
      <c r="U87" s="794">
        <v>0.499</v>
      </c>
      <c r="V87" s="795">
        <f t="shared" si="54"/>
        <v>52.994</v>
      </c>
      <c r="W87" s="758">
        <f t="shared" si="47"/>
        <v>4.7</v>
      </c>
      <c r="X87" s="718">
        <v>4</v>
      </c>
      <c r="Y87" s="794">
        <f>+Y86</f>
        <v>0.88800000000000001</v>
      </c>
      <c r="Z87" s="792">
        <f t="shared" si="55"/>
        <v>16.693999999999999</v>
      </c>
      <c r="AA87" s="792">
        <f t="shared" si="56"/>
        <v>85.685299999999998</v>
      </c>
      <c r="AB87" s="795">
        <f t="shared" si="48"/>
        <v>16.693999999999999</v>
      </c>
      <c r="AE87"/>
      <c r="AF87"/>
      <c r="AG87"/>
      <c r="AH87"/>
      <c r="AI87"/>
      <c r="AJ87"/>
      <c r="AK87"/>
      <c r="AL87"/>
      <c r="AM87"/>
      <c r="AN87"/>
      <c r="AO87"/>
      <c r="AP87"/>
      <c r="BT87" s="537"/>
    </row>
    <row r="88" spans="1:72" s="269" customFormat="1" ht="22.5" thickBot="1">
      <c r="A88" s="283"/>
      <c r="B88" s="1709"/>
      <c r="C88" s="804">
        <v>3</v>
      </c>
      <c r="D88" s="796">
        <f t="shared" si="42"/>
        <v>6.75</v>
      </c>
      <c r="E88" s="2038">
        <f t="shared" si="43"/>
        <v>28</v>
      </c>
      <c r="F88" s="766">
        <f t="shared" si="60"/>
        <v>6</v>
      </c>
      <c r="G88" s="769">
        <f t="shared" si="49"/>
        <v>85</v>
      </c>
      <c r="H88" s="806">
        <v>0.499</v>
      </c>
      <c r="I88" s="801">
        <f t="shared" si="50"/>
        <v>42.414999999999999</v>
      </c>
      <c r="J88" s="767">
        <f t="shared" si="44"/>
        <v>3.25</v>
      </c>
      <c r="K88" s="805">
        <f t="shared" si="45"/>
        <v>14</v>
      </c>
      <c r="L88" s="766">
        <f t="shared" si="61"/>
        <v>11.52</v>
      </c>
      <c r="M88" s="2035">
        <f t="shared" si="52"/>
        <v>82.98</v>
      </c>
      <c r="N88" s="806">
        <v>0.499</v>
      </c>
      <c r="O88" s="801">
        <f t="shared" si="53"/>
        <v>41.406999999999996</v>
      </c>
      <c r="P88" s="799">
        <f t="shared" si="40"/>
        <v>6.75</v>
      </c>
      <c r="Q88" s="766">
        <f>+Q87</f>
        <v>2.42</v>
      </c>
      <c r="R88" s="769">
        <f t="shared" si="57"/>
        <v>56</v>
      </c>
      <c r="S88" s="766">
        <f t="shared" si="46"/>
        <v>6.75</v>
      </c>
      <c r="T88" s="769">
        <v>2</v>
      </c>
      <c r="U88" s="800">
        <v>0.499</v>
      </c>
      <c r="V88" s="801">
        <f t="shared" si="54"/>
        <v>74.361000000000004</v>
      </c>
      <c r="W88" s="766">
        <f t="shared" si="47"/>
        <v>6.75</v>
      </c>
      <c r="X88" s="769">
        <v>4</v>
      </c>
      <c r="Y88" s="800">
        <f>+Y87</f>
        <v>0.88800000000000001</v>
      </c>
      <c r="Z88" s="798">
        <f t="shared" si="55"/>
        <v>23.975999999999999</v>
      </c>
      <c r="AA88" s="798">
        <f t="shared" si="56"/>
        <v>123.87179999999999</v>
      </c>
      <c r="AB88" s="801">
        <f t="shared" si="48"/>
        <v>23.975999999999999</v>
      </c>
      <c r="AE88"/>
      <c r="AF88"/>
      <c r="AG88"/>
      <c r="AH88"/>
      <c r="AI88"/>
      <c r="AJ88"/>
      <c r="AK88"/>
      <c r="AL88"/>
      <c r="AM88"/>
      <c r="AN88"/>
      <c r="AO88"/>
      <c r="AP88"/>
      <c r="BT88" s="537"/>
    </row>
    <row r="89" spans="1:72" s="269" customFormat="1">
      <c r="A89" s="283"/>
      <c r="B89" s="1710">
        <v>1.5</v>
      </c>
      <c r="C89" s="773">
        <v>1</v>
      </c>
      <c r="D89" s="784">
        <f t="shared" si="42"/>
        <v>3</v>
      </c>
      <c r="E89" s="778">
        <f t="shared" si="43"/>
        <v>13</v>
      </c>
      <c r="F89" s="752">
        <f>+ROUND($B$89/0.25,)*$B$89</f>
        <v>9</v>
      </c>
      <c r="G89" s="775">
        <f>+J89*E89-F89</f>
        <v>41.699999999999996</v>
      </c>
      <c r="H89" s="788">
        <v>0.499</v>
      </c>
      <c r="I89" s="789">
        <f>+ROUND(G89*H89,4)</f>
        <v>20.808299999999999</v>
      </c>
      <c r="J89" s="776">
        <f t="shared" si="44"/>
        <v>3.9</v>
      </c>
      <c r="K89" s="778">
        <f t="shared" si="45"/>
        <v>17</v>
      </c>
      <c r="L89" s="752">
        <f>+$B$89/0.25*2*$B$89</f>
        <v>18</v>
      </c>
      <c r="M89" s="778">
        <f>+K89*D89-L89</f>
        <v>33</v>
      </c>
      <c r="N89" s="788">
        <v>0.499</v>
      </c>
      <c r="O89" s="789">
        <f>+ROUND(M89*N89,4)</f>
        <v>16.466999999999999</v>
      </c>
      <c r="P89" s="787">
        <f t="shared" si="40"/>
        <v>3</v>
      </c>
      <c r="Q89" s="775">
        <v>2.42</v>
      </c>
      <c r="R89" s="778">
        <f t="shared" si="57"/>
        <v>26</v>
      </c>
      <c r="S89" s="775">
        <f t="shared" si="46"/>
        <v>3</v>
      </c>
      <c r="T89" s="778">
        <v>2</v>
      </c>
      <c r="U89" s="802">
        <v>0.499</v>
      </c>
      <c r="V89" s="789">
        <f>+ROUND((Q89*R89+S89*T89)*U89,3)</f>
        <v>34.390999999999998</v>
      </c>
      <c r="W89" s="775">
        <f t="shared" si="47"/>
        <v>3</v>
      </c>
      <c r="X89" s="778">
        <v>4</v>
      </c>
      <c r="Y89" s="788">
        <v>0.88800000000000001</v>
      </c>
      <c r="Z89" s="786">
        <f>+ROUND(W89*X89*Y89,3)</f>
        <v>10.656000000000001</v>
      </c>
      <c r="AA89" s="786">
        <f>+ROUND((O89+V89)*1.07,4)</f>
        <v>54.418100000000003</v>
      </c>
      <c r="AB89" s="789">
        <f t="shared" si="48"/>
        <v>10.656000000000001</v>
      </c>
      <c r="AE89"/>
      <c r="AF89"/>
      <c r="AG89"/>
      <c r="AH89"/>
      <c r="AI89"/>
      <c r="AJ89"/>
      <c r="AK89"/>
      <c r="AL89"/>
      <c r="AM89"/>
      <c r="AN89"/>
      <c r="AO89"/>
      <c r="AP89"/>
      <c r="BT89" s="537"/>
    </row>
    <row r="90" spans="1:72" s="269" customFormat="1">
      <c r="A90" s="271"/>
      <c r="B90" s="1708"/>
      <c r="C90" s="756">
        <v>2</v>
      </c>
      <c r="D90" s="790">
        <f t="shared" si="42"/>
        <v>5.55</v>
      </c>
      <c r="E90" s="718">
        <f t="shared" si="43"/>
        <v>23</v>
      </c>
      <c r="F90" s="752">
        <f t="shared" ref="F90:F91" si="62">+ROUND($B$89/0.25,)*$B$89</f>
        <v>9</v>
      </c>
      <c r="G90" s="758">
        <f t="shared" si="49"/>
        <v>80.7</v>
      </c>
      <c r="H90" s="794">
        <v>0.499</v>
      </c>
      <c r="I90" s="795">
        <f t="shared" si="50"/>
        <v>40.269300000000001</v>
      </c>
      <c r="J90" s="759">
        <f t="shared" si="44"/>
        <v>3.9</v>
      </c>
      <c r="K90" s="718">
        <f t="shared" si="45"/>
        <v>17</v>
      </c>
      <c r="L90" s="758">
        <f t="shared" ref="L90:L91" si="63">+$B$89/0.25*2*$B$89</f>
        <v>18</v>
      </c>
      <c r="M90" s="753">
        <f t="shared" si="52"/>
        <v>76.349999999999994</v>
      </c>
      <c r="N90" s="794">
        <v>0.499</v>
      </c>
      <c r="O90" s="795">
        <f t="shared" si="53"/>
        <v>38.098700000000001</v>
      </c>
      <c r="P90" s="793">
        <f t="shared" si="40"/>
        <v>5.55</v>
      </c>
      <c r="Q90" s="758">
        <f>+Q89</f>
        <v>2.42</v>
      </c>
      <c r="R90" s="718">
        <f t="shared" si="57"/>
        <v>46</v>
      </c>
      <c r="S90" s="758">
        <f t="shared" si="46"/>
        <v>5.55</v>
      </c>
      <c r="T90" s="718">
        <v>2</v>
      </c>
      <c r="U90" s="794">
        <v>0.499</v>
      </c>
      <c r="V90" s="795">
        <f t="shared" si="54"/>
        <v>61.088000000000001</v>
      </c>
      <c r="W90" s="758">
        <f t="shared" si="47"/>
        <v>5.55</v>
      </c>
      <c r="X90" s="718">
        <v>4</v>
      </c>
      <c r="Y90" s="794">
        <f>+Y89</f>
        <v>0.88800000000000001</v>
      </c>
      <c r="Z90" s="792">
        <f t="shared" si="55"/>
        <v>19.713999999999999</v>
      </c>
      <c r="AA90" s="792">
        <f t="shared" si="56"/>
        <v>106.1298</v>
      </c>
      <c r="AB90" s="795">
        <f t="shared" si="48"/>
        <v>19.713999999999999</v>
      </c>
      <c r="AE90"/>
      <c r="AF90"/>
      <c r="AG90"/>
      <c r="AH90"/>
      <c r="AI90"/>
      <c r="AJ90"/>
      <c r="AK90"/>
      <c r="AL90"/>
      <c r="AM90"/>
      <c r="AN90"/>
      <c r="AO90"/>
      <c r="AP90"/>
      <c r="BT90" s="537"/>
    </row>
    <row r="91" spans="1:72" s="269" customFormat="1" ht="22.5" thickBot="1">
      <c r="A91" s="803"/>
      <c r="B91" s="1709"/>
      <c r="C91" s="764">
        <v>3</v>
      </c>
      <c r="D91" s="796">
        <f t="shared" si="42"/>
        <v>8.1</v>
      </c>
      <c r="E91" s="769">
        <f t="shared" si="43"/>
        <v>33</v>
      </c>
      <c r="F91" s="766">
        <f t="shared" si="62"/>
        <v>9</v>
      </c>
      <c r="G91" s="766">
        <f t="shared" si="49"/>
        <v>119.69999999999999</v>
      </c>
      <c r="H91" s="800">
        <v>0.499</v>
      </c>
      <c r="I91" s="801">
        <f t="shared" si="50"/>
        <v>59.7303</v>
      </c>
      <c r="J91" s="767">
        <f t="shared" si="44"/>
        <v>3.9</v>
      </c>
      <c r="K91" s="769">
        <f t="shared" si="45"/>
        <v>17</v>
      </c>
      <c r="L91" s="766">
        <f t="shared" si="63"/>
        <v>18</v>
      </c>
      <c r="M91" s="2035">
        <f t="shared" si="52"/>
        <v>119.69999999999999</v>
      </c>
      <c r="N91" s="800">
        <v>0.499</v>
      </c>
      <c r="O91" s="801">
        <f t="shared" si="53"/>
        <v>59.7303</v>
      </c>
      <c r="P91" s="799">
        <f t="shared" si="40"/>
        <v>8.1</v>
      </c>
      <c r="Q91" s="766">
        <f>+Q90</f>
        <v>2.42</v>
      </c>
      <c r="R91" s="769">
        <f t="shared" si="57"/>
        <v>66</v>
      </c>
      <c r="S91" s="766">
        <f t="shared" si="46"/>
        <v>8.1</v>
      </c>
      <c r="T91" s="769">
        <v>2</v>
      </c>
      <c r="U91" s="800">
        <v>0.499</v>
      </c>
      <c r="V91" s="801">
        <f t="shared" si="54"/>
        <v>87.784000000000006</v>
      </c>
      <c r="W91" s="766">
        <f t="shared" si="47"/>
        <v>8.1</v>
      </c>
      <c r="X91" s="769">
        <v>4</v>
      </c>
      <c r="Y91" s="800">
        <f>+Y90</f>
        <v>0.88800000000000001</v>
      </c>
      <c r="Z91" s="798">
        <f t="shared" si="55"/>
        <v>28.771000000000001</v>
      </c>
      <c r="AA91" s="798">
        <f t="shared" si="56"/>
        <v>157.84030000000001</v>
      </c>
      <c r="AB91" s="801">
        <f t="shared" si="48"/>
        <v>28.771000000000001</v>
      </c>
      <c r="AE91"/>
      <c r="AF91"/>
      <c r="AG91"/>
      <c r="AH91"/>
      <c r="AI91"/>
      <c r="AJ91"/>
      <c r="AK91"/>
      <c r="AL91"/>
      <c r="AM91"/>
      <c r="AN91"/>
      <c r="AO91"/>
      <c r="AP91"/>
      <c r="BT91" s="537"/>
    </row>
    <row r="92" spans="1:72" s="269" customFormat="1">
      <c r="A92" s="803"/>
      <c r="B92" s="803"/>
      <c r="C92" s="803"/>
      <c r="AE92"/>
      <c r="AF92"/>
      <c r="AG92"/>
      <c r="AH92"/>
      <c r="AI92"/>
      <c r="AJ92"/>
      <c r="AK92"/>
      <c r="AL92"/>
      <c r="AM92"/>
      <c r="AN92"/>
      <c r="AO92"/>
      <c r="AP92"/>
      <c r="BT92" s="537"/>
    </row>
    <row r="93" spans="1:72" s="269" customFormat="1">
      <c r="A93" s="803"/>
      <c r="B93"/>
      <c r="C93"/>
      <c r="D93"/>
      <c r="E93"/>
      <c r="F93"/>
      <c r="G93"/>
      <c r="H93"/>
      <c r="I93"/>
      <c r="J93"/>
      <c r="K93"/>
      <c r="L93"/>
      <c r="M93"/>
      <c r="AJ93" s="534"/>
      <c r="AL93" s="268"/>
      <c r="BT93" s="537"/>
    </row>
    <row r="94" spans="1:72" s="269" customFormat="1">
      <c r="A94" s="803"/>
      <c r="B94"/>
      <c r="C94"/>
      <c r="D94"/>
      <c r="E94"/>
      <c r="F94"/>
      <c r="G94"/>
      <c r="H94"/>
      <c r="I94"/>
      <c r="J94"/>
      <c r="K94"/>
      <c r="L94"/>
      <c r="M94"/>
      <c r="AL94" s="268"/>
      <c r="BT94" s="537"/>
    </row>
    <row r="95" spans="1:72" s="269" customFormat="1">
      <c r="A95" s="803"/>
      <c r="B95"/>
      <c r="C95"/>
      <c r="D95"/>
      <c r="E95"/>
      <c r="F95"/>
      <c r="G95"/>
      <c r="H95"/>
      <c r="I95"/>
      <c r="J95"/>
      <c r="K95"/>
      <c r="L95"/>
      <c r="M95"/>
      <c r="AL95" s="268"/>
      <c r="BT95" s="537"/>
    </row>
    <row r="96" spans="1:72" s="269" customFormat="1">
      <c r="A96" s="803"/>
      <c r="B96"/>
      <c r="C96"/>
      <c r="D96"/>
      <c r="E96"/>
      <c r="F96"/>
      <c r="G96"/>
      <c r="H96"/>
      <c r="I96"/>
      <c r="J96"/>
      <c r="K96"/>
      <c r="L96"/>
      <c r="M96"/>
      <c r="AL96" s="268"/>
      <c r="BT96" s="537"/>
    </row>
    <row r="97" spans="1:72" s="269" customFormat="1">
      <c r="A97" s="803"/>
      <c r="B97"/>
      <c r="C97"/>
      <c r="D97"/>
      <c r="E97"/>
      <c r="F97"/>
      <c r="G97"/>
      <c r="H97"/>
      <c r="I97"/>
      <c r="J97"/>
      <c r="K97"/>
      <c r="L97"/>
      <c r="M97"/>
      <c r="AL97" s="268"/>
      <c r="BT97" s="537"/>
    </row>
    <row r="98" spans="1:72" s="269" customFormat="1">
      <c r="A98" s="803"/>
      <c r="B98"/>
      <c r="C98"/>
      <c r="D98"/>
      <c r="E98"/>
      <c r="F98"/>
      <c r="G98"/>
      <c r="H98"/>
      <c r="I98"/>
      <c r="J98"/>
      <c r="K98"/>
      <c r="L98"/>
      <c r="M98"/>
      <c r="AL98" s="268"/>
      <c r="BT98" s="537"/>
    </row>
    <row r="99" spans="1:72" s="269" customFormat="1">
      <c r="A99" s="803"/>
      <c r="B99"/>
      <c r="C99"/>
      <c r="D99"/>
      <c r="E99"/>
      <c r="F99"/>
      <c r="G99"/>
      <c r="H99"/>
      <c r="I99"/>
      <c r="J99"/>
      <c r="K99"/>
      <c r="L99"/>
      <c r="M99"/>
      <c r="AL99" s="268"/>
      <c r="BT99" s="537"/>
    </row>
    <row r="100" spans="1:72" s="269" customFormat="1">
      <c r="A100" s="803"/>
      <c r="B100"/>
      <c r="C100"/>
      <c r="D100"/>
      <c r="E100"/>
      <c r="F100"/>
      <c r="G100"/>
      <c r="H100"/>
      <c r="I100"/>
      <c r="J100"/>
      <c r="K100"/>
      <c r="L100"/>
      <c r="M100"/>
      <c r="AL100" s="268"/>
      <c r="BT100" s="537"/>
    </row>
    <row r="101" spans="1:72" s="269" customFormat="1">
      <c r="A101" s="530"/>
      <c r="B101"/>
      <c r="C101"/>
      <c r="D101"/>
      <c r="E101"/>
      <c r="F101"/>
      <c r="G101"/>
      <c r="H101"/>
      <c r="I101"/>
      <c r="J101"/>
      <c r="K101"/>
      <c r="L101"/>
      <c r="M101"/>
      <c r="W101" s="537"/>
      <c r="BT101" s="537"/>
    </row>
    <row r="102" spans="1:72" s="269" customFormat="1">
      <c r="A102" s="530"/>
      <c r="B102"/>
      <c r="C102"/>
      <c r="D102"/>
      <c r="E102"/>
      <c r="F102"/>
      <c r="G102"/>
      <c r="H102"/>
      <c r="I102"/>
      <c r="J102"/>
      <c r="K102"/>
      <c r="L102"/>
      <c r="M102"/>
      <c r="W102" s="537"/>
      <c r="BC102" s="271"/>
      <c r="BD102" s="271"/>
      <c r="BE102" s="271"/>
      <c r="BF102" s="271"/>
      <c r="BG102" s="271"/>
      <c r="BH102" s="271"/>
      <c r="BI102" s="271"/>
      <c r="BT102" s="537"/>
    </row>
    <row r="103" spans="1:72" s="269" customFormat="1">
      <c r="A103" s="530"/>
      <c r="B103"/>
      <c r="C103"/>
      <c r="D103"/>
      <c r="E103"/>
      <c r="F103"/>
      <c r="G103"/>
      <c r="H103"/>
      <c r="I103"/>
      <c r="J103"/>
      <c r="K103"/>
      <c r="L103"/>
      <c r="M103"/>
      <c r="W103" s="537"/>
      <c r="BC103" s="271"/>
      <c r="BD103" s="271"/>
      <c r="BE103" s="271"/>
      <c r="BF103" s="271"/>
      <c r="BG103" s="271"/>
      <c r="BH103" s="271"/>
      <c r="BI103" s="271"/>
      <c r="BT103" s="537"/>
    </row>
    <row r="104" spans="1:72" s="269" customFormat="1">
      <c r="A104" s="530"/>
      <c r="B104"/>
      <c r="C104"/>
      <c r="D104"/>
      <c r="E104"/>
      <c r="F104"/>
      <c r="G104"/>
      <c r="H104"/>
      <c r="I104"/>
      <c r="J104"/>
      <c r="K104"/>
      <c r="L104"/>
      <c r="M104"/>
      <c r="W104" s="537"/>
      <c r="BC104" s="271"/>
      <c r="BD104" s="271"/>
      <c r="BE104" s="271"/>
      <c r="BF104" s="271"/>
      <c r="BG104" s="271"/>
      <c r="BH104" s="271"/>
      <c r="BI104" s="271"/>
      <c r="BT104" s="537"/>
    </row>
    <row r="105" spans="1:72" s="269" customFormat="1">
      <c r="A105" s="530"/>
      <c r="B105"/>
      <c r="C105"/>
      <c r="D105"/>
      <c r="E105"/>
      <c r="F105"/>
      <c r="G105"/>
      <c r="H105"/>
      <c r="I105"/>
      <c r="J105"/>
      <c r="K105"/>
      <c r="L105"/>
      <c r="M105"/>
      <c r="W105" s="537"/>
      <c r="BC105" s="268"/>
      <c r="BD105" s="268"/>
      <c r="BE105" s="268"/>
      <c r="BF105" s="268"/>
      <c r="BG105" s="268"/>
      <c r="BH105" s="268"/>
      <c r="BI105" s="268"/>
      <c r="BT105" s="537"/>
    </row>
    <row r="106" spans="1:72" s="269" customFormat="1">
      <c r="A106" s="530"/>
      <c r="B106"/>
      <c r="C106"/>
      <c r="D106"/>
      <c r="E106"/>
      <c r="F106"/>
      <c r="G106"/>
      <c r="H106"/>
      <c r="I106"/>
      <c r="J106"/>
      <c r="K106"/>
      <c r="L106"/>
      <c r="M106"/>
      <c r="W106" s="537"/>
      <c r="BC106" s="268"/>
      <c r="BD106" s="268"/>
      <c r="BE106" s="268"/>
      <c r="BF106" s="268"/>
      <c r="BG106" s="268"/>
      <c r="BH106" s="268"/>
      <c r="BI106" s="268"/>
      <c r="BT106" s="537"/>
    </row>
    <row r="107" spans="1:72" s="269" customFormat="1">
      <c r="A107" s="530"/>
      <c r="B107"/>
      <c r="C107"/>
      <c r="D107"/>
      <c r="E107"/>
      <c r="F107"/>
      <c r="G107"/>
      <c r="H107"/>
      <c r="I107"/>
      <c r="J107"/>
      <c r="K107"/>
      <c r="L107"/>
      <c r="M107"/>
      <c r="W107" s="537"/>
      <c r="BC107" s="268"/>
      <c r="BD107" s="268"/>
      <c r="BE107" s="268"/>
      <c r="BF107" s="268"/>
      <c r="BG107" s="268"/>
      <c r="BH107" s="268"/>
      <c r="BI107" s="268"/>
      <c r="BT107" s="537"/>
    </row>
    <row r="108" spans="1:72" s="269" customFormat="1">
      <c r="A108" s="530"/>
      <c r="B108"/>
      <c r="C108"/>
      <c r="D108"/>
      <c r="E108"/>
      <c r="F108"/>
      <c r="G108"/>
      <c r="H108"/>
      <c r="I108"/>
      <c r="J108"/>
      <c r="K108"/>
      <c r="L108"/>
      <c r="M108"/>
      <c r="W108" s="537"/>
      <c r="BC108" s="268"/>
      <c r="BD108" s="268"/>
      <c r="BE108" s="268"/>
      <c r="BF108" s="268"/>
      <c r="BG108" s="268"/>
      <c r="BH108" s="268"/>
      <c r="BI108" s="268"/>
      <c r="BT108" s="537"/>
    </row>
    <row r="109" spans="1:72" s="269" customFormat="1">
      <c r="A109" s="530"/>
      <c r="B109"/>
      <c r="C109"/>
      <c r="D109"/>
      <c r="E109"/>
      <c r="F109"/>
      <c r="G109"/>
      <c r="H109"/>
      <c r="I109"/>
      <c r="J109"/>
      <c r="K109"/>
      <c r="L109"/>
      <c r="M109"/>
      <c r="V109" s="803"/>
      <c r="W109" s="537"/>
      <c r="BC109" s="268"/>
      <c r="BD109" s="268"/>
      <c r="BE109" s="268"/>
      <c r="BF109" s="268"/>
      <c r="BG109" s="268"/>
      <c r="BH109" s="268"/>
      <c r="BI109" s="268"/>
      <c r="BT109" s="537"/>
    </row>
    <row r="110" spans="1:72" s="269" customFormat="1">
      <c r="B110"/>
      <c r="C110"/>
      <c r="D110"/>
      <c r="E110"/>
      <c r="F110"/>
      <c r="G110"/>
      <c r="H110"/>
      <c r="I110"/>
      <c r="J110"/>
      <c r="K110"/>
      <c r="L110"/>
      <c r="M110"/>
      <c r="V110" s="803"/>
      <c r="W110" s="537"/>
      <c r="BC110" s="268"/>
      <c r="BD110" s="268"/>
      <c r="BE110" s="268"/>
      <c r="BF110" s="268"/>
      <c r="BG110" s="268"/>
      <c r="BH110" s="268"/>
      <c r="BI110" s="268"/>
      <c r="BT110" s="537"/>
    </row>
    <row r="111" spans="1:72" s="269" customFormat="1">
      <c r="A111" s="530"/>
      <c r="B111"/>
      <c r="C111"/>
      <c r="D111"/>
      <c r="E111"/>
      <c r="F111"/>
      <c r="G111"/>
      <c r="H111"/>
      <c r="I111"/>
      <c r="J111"/>
      <c r="K111"/>
      <c r="L111"/>
      <c r="M111"/>
      <c r="V111" s="803"/>
      <c r="W111" s="537"/>
      <c r="BC111" s="268"/>
      <c r="BD111" s="268"/>
      <c r="BE111" s="268"/>
      <c r="BF111" s="268"/>
      <c r="BG111" s="268"/>
      <c r="BH111" s="268"/>
      <c r="BI111" s="268"/>
      <c r="BT111" s="537"/>
    </row>
    <row r="112" spans="1:72" s="269" customFormat="1">
      <c r="A112" s="530"/>
      <c r="B112"/>
      <c r="C112"/>
      <c r="D112"/>
      <c r="E112"/>
      <c r="F112"/>
      <c r="G112"/>
      <c r="H112"/>
      <c r="I112"/>
      <c r="J112"/>
      <c r="K112"/>
      <c r="L112"/>
      <c r="M112"/>
      <c r="V112" s="803"/>
      <c r="W112" s="537"/>
      <c r="BC112" s="268"/>
      <c r="BD112" s="268"/>
      <c r="BE112" s="268"/>
      <c r="BF112" s="268"/>
      <c r="BG112" s="268"/>
      <c r="BH112" s="268"/>
      <c r="BI112" s="268"/>
      <c r="BT112" s="537"/>
    </row>
    <row r="113" spans="1:72" s="269" customFormat="1">
      <c r="A113" s="530"/>
      <c r="B113"/>
      <c r="C113"/>
      <c r="D113"/>
      <c r="E113"/>
      <c r="F113"/>
      <c r="G113"/>
      <c r="H113"/>
      <c r="I113"/>
      <c r="J113"/>
      <c r="K113"/>
      <c r="L113"/>
      <c r="M113"/>
      <c r="V113" s="803"/>
      <c r="W113" s="537"/>
      <c r="BC113" s="268"/>
      <c r="BD113" s="268"/>
      <c r="BE113" s="268"/>
      <c r="BF113" s="268"/>
      <c r="BG113" s="268"/>
      <c r="BH113" s="268"/>
      <c r="BI113" s="268"/>
      <c r="BT113" s="537"/>
    </row>
    <row r="114" spans="1:72" s="269" customFormat="1">
      <c r="A114" s="530"/>
      <c r="B114"/>
      <c r="C114"/>
      <c r="D114"/>
      <c r="E114"/>
      <c r="F114"/>
      <c r="G114"/>
      <c r="H114"/>
      <c r="I114"/>
      <c r="J114"/>
      <c r="K114"/>
      <c r="L114"/>
      <c r="M114"/>
      <c r="V114" s="803"/>
      <c r="W114" s="537"/>
      <c r="BC114" s="292"/>
      <c r="BD114" s="292"/>
      <c r="BE114" s="292"/>
      <c r="BF114" s="283"/>
      <c r="BG114" s="283"/>
      <c r="BH114" s="283"/>
      <c r="BI114" s="283"/>
      <c r="BT114" s="537"/>
    </row>
    <row r="115" spans="1:72" s="269" customFormat="1">
      <c r="A115" s="530"/>
      <c r="B115"/>
      <c r="C115"/>
      <c r="D115"/>
      <c r="E115"/>
      <c r="F115"/>
      <c r="G115"/>
      <c r="H115"/>
      <c r="I115"/>
      <c r="J115"/>
      <c r="K115"/>
      <c r="L115"/>
      <c r="M115"/>
      <c r="V115" s="803"/>
      <c r="W115" s="537"/>
      <c r="BC115" s="292"/>
      <c r="BD115" s="292"/>
      <c r="BE115" s="292"/>
      <c r="BF115" s="283"/>
      <c r="BG115" s="283"/>
      <c r="BH115" s="283"/>
      <c r="BI115" s="283"/>
      <c r="BT115" s="537"/>
    </row>
    <row r="116" spans="1:72" s="269" customFormat="1">
      <c r="A116" s="530"/>
      <c r="B116"/>
      <c r="C116"/>
      <c r="D116"/>
      <c r="E116"/>
      <c r="F116"/>
      <c r="G116"/>
      <c r="H116"/>
      <c r="I116"/>
      <c r="J116"/>
      <c r="K116"/>
      <c r="L116"/>
      <c r="M116"/>
      <c r="V116" s="803"/>
      <c r="W116" s="537"/>
      <c r="BC116" s="292"/>
      <c r="BD116" s="292"/>
      <c r="BE116" s="292"/>
      <c r="BF116" s="283"/>
      <c r="BG116" s="283"/>
      <c r="BH116" s="283"/>
      <c r="BI116" s="283"/>
      <c r="BT116" s="537"/>
    </row>
    <row r="117" spans="1:72" s="269" customFormat="1">
      <c r="A117" s="530"/>
      <c r="B117"/>
      <c r="C117"/>
      <c r="D117"/>
      <c r="E117"/>
      <c r="F117"/>
      <c r="G117"/>
      <c r="H117"/>
      <c r="I117"/>
      <c r="J117"/>
      <c r="K117"/>
      <c r="L117"/>
      <c r="M117"/>
      <c r="V117" s="803"/>
      <c r="W117" s="537"/>
      <c r="BC117" s="292"/>
      <c r="BD117" s="292"/>
      <c r="BE117" s="292"/>
      <c r="BF117" s="283"/>
      <c r="BG117" s="283"/>
      <c r="BH117" s="283"/>
      <c r="BI117" s="283"/>
      <c r="BT117" s="537"/>
    </row>
    <row r="118" spans="1:72" s="269" customFormat="1">
      <c r="A118" s="530"/>
      <c r="B118"/>
      <c r="C118"/>
      <c r="D118"/>
      <c r="E118"/>
      <c r="F118"/>
      <c r="G118"/>
      <c r="H118"/>
      <c r="I118"/>
      <c r="J118"/>
      <c r="K118"/>
      <c r="L118"/>
      <c r="M118"/>
      <c r="V118" s="803"/>
      <c r="W118" s="537"/>
      <c r="BC118" s="292"/>
      <c r="BD118" s="292"/>
      <c r="BE118" s="292"/>
      <c r="BF118" s="283"/>
      <c r="BG118" s="283"/>
      <c r="BH118" s="283"/>
      <c r="BI118" s="283"/>
      <c r="BT118" s="537"/>
    </row>
    <row r="119" spans="1:72" s="269" customFormat="1">
      <c r="A119" s="530"/>
      <c r="B119"/>
      <c r="C119"/>
      <c r="D119"/>
      <c r="E119"/>
      <c r="F119"/>
      <c r="G119"/>
      <c r="H119"/>
      <c r="I119"/>
      <c r="J119"/>
      <c r="K119"/>
      <c r="L119"/>
      <c r="M119"/>
      <c r="V119" s="803"/>
      <c r="W119" s="537"/>
      <c r="BC119" s="292"/>
      <c r="BD119" s="292"/>
      <c r="BE119" s="292"/>
      <c r="BF119" s="283"/>
      <c r="BG119" s="283"/>
      <c r="BH119" s="283"/>
      <c r="BI119" s="283"/>
      <c r="BT119" s="537"/>
    </row>
    <row r="120" spans="1:72" s="269" customFormat="1">
      <c r="A120" s="530"/>
      <c r="B120"/>
      <c r="C120"/>
      <c r="D120"/>
      <c r="E120"/>
      <c r="F120"/>
      <c r="G120"/>
      <c r="H120"/>
      <c r="I120"/>
      <c r="J120"/>
      <c r="K120"/>
      <c r="L120"/>
      <c r="M120"/>
      <c r="V120" s="803"/>
      <c r="W120" s="537"/>
      <c r="BC120" s="292"/>
      <c r="BD120" s="292"/>
      <c r="BE120" s="292"/>
      <c r="BF120" s="283"/>
      <c r="BG120" s="283"/>
      <c r="BH120" s="283"/>
      <c r="BI120" s="283"/>
      <c r="BT120" s="537"/>
    </row>
    <row r="121" spans="1:72" s="269" customFormat="1">
      <c r="A121" s="530"/>
      <c r="B121"/>
      <c r="C121"/>
      <c r="D121"/>
      <c r="E121"/>
      <c r="F121"/>
      <c r="G121"/>
      <c r="H121"/>
      <c r="I121"/>
      <c r="J121"/>
      <c r="K121"/>
      <c r="L121"/>
      <c r="M121"/>
      <c r="V121" s="803"/>
      <c r="W121" s="537"/>
      <c r="BC121" s="292"/>
      <c r="BD121" s="292"/>
      <c r="BE121" s="292"/>
      <c r="BF121" s="283"/>
      <c r="BG121" s="283"/>
      <c r="BH121" s="283"/>
      <c r="BI121" s="283"/>
      <c r="BT121" s="537"/>
    </row>
    <row r="122" spans="1:72" s="269" customFormat="1">
      <c r="A122" s="530"/>
      <c r="B122"/>
      <c r="C122"/>
      <c r="D122"/>
      <c r="E122"/>
      <c r="F122"/>
      <c r="G122"/>
      <c r="H122"/>
      <c r="I122"/>
      <c r="J122"/>
      <c r="K122"/>
      <c r="L122"/>
      <c r="M122"/>
      <c r="V122" s="803"/>
      <c r="W122" s="537"/>
      <c r="BC122" s="292"/>
      <c r="BD122" s="292"/>
      <c r="BE122" s="292"/>
      <c r="BF122" s="283"/>
      <c r="BG122" s="283"/>
      <c r="BH122" s="283"/>
      <c r="BI122" s="283"/>
      <c r="BT122" s="537"/>
    </row>
    <row r="123" spans="1:72" s="269" customFormat="1">
      <c r="A123" s="530"/>
      <c r="B123"/>
      <c r="C123"/>
      <c r="D123"/>
      <c r="E123"/>
      <c r="F123"/>
      <c r="G123"/>
      <c r="H123"/>
      <c r="I123"/>
      <c r="J123"/>
      <c r="K123"/>
      <c r="L123"/>
      <c r="M123"/>
      <c r="V123" s="803"/>
      <c r="W123" s="537"/>
      <c r="BC123" s="271"/>
      <c r="BD123" s="271"/>
      <c r="BE123" s="271"/>
      <c r="BF123" s="271"/>
      <c r="BG123" s="271"/>
      <c r="BH123" s="271"/>
      <c r="BI123" s="271"/>
      <c r="BT123" s="537"/>
    </row>
    <row r="124" spans="1:72" s="269" customFormat="1">
      <c r="A124" s="530"/>
      <c r="B124"/>
      <c r="C124"/>
      <c r="D124"/>
      <c r="E124"/>
      <c r="F124"/>
      <c r="G124"/>
      <c r="H124"/>
      <c r="I124"/>
      <c r="J124"/>
      <c r="K124"/>
      <c r="L124"/>
      <c r="M124"/>
      <c r="V124" s="803"/>
      <c r="W124" s="537"/>
      <c r="BC124" s="283"/>
      <c r="BD124" s="283"/>
      <c r="BE124" s="283"/>
      <c r="BF124" s="283"/>
      <c r="BG124" s="283"/>
      <c r="BH124" s="283"/>
      <c r="BI124" s="283"/>
      <c r="BT124" s="537"/>
    </row>
    <row r="125" spans="1:72" s="269" customFormat="1">
      <c r="A125" s="530"/>
      <c r="B125"/>
      <c r="C125"/>
      <c r="D125"/>
      <c r="E125"/>
      <c r="F125"/>
      <c r="G125"/>
      <c r="H125"/>
      <c r="I125"/>
      <c r="J125"/>
      <c r="K125"/>
      <c r="L125"/>
      <c r="M125"/>
      <c r="V125" s="803"/>
      <c r="W125" s="537"/>
      <c r="BC125" s="283"/>
      <c r="BD125" s="283"/>
      <c r="BE125" s="283"/>
      <c r="BF125" s="283"/>
      <c r="BG125" s="283"/>
      <c r="BH125" s="283"/>
      <c r="BI125" s="283"/>
      <c r="BT125" s="537"/>
    </row>
    <row r="126" spans="1:72" s="269" customFormat="1" ht="18.75">
      <c r="A126" s="530"/>
      <c r="B126" s="530"/>
      <c r="C126" s="530"/>
      <c r="V126" s="803"/>
      <c r="W126" s="537"/>
      <c r="BC126" s="283"/>
      <c r="BD126" s="283"/>
      <c r="BE126" s="283"/>
      <c r="BF126" s="283"/>
      <c r="BG126" s="283"/>
      <c r="BH126" s="283"/>
      <c r="BI126" s="283"/>
      <c r="BT126" s="537"/>
    </row>
    <row r="127" spans="1:72" s="269" customFormat="1" ht="18.75">
      <c r="A127" s="530"/>
      <c r="B127" s="530"/>
      <c r="C127" s="530"/>
      <c r="V127" s="803"/>
      <c r="W127" s="537"/>
      <c r="BC127" s="283"/>
      <c r="BD127" s="283"/>
      <c r="BE127" s="283"/>
      <c r="BF127" s="283"/>
      <c r="BG127" s="283"/>
      <c r="BH127" s="283"/>
      <c r="BI127" s="283"/>
      <c r="BT127" s="537"/>
    </row>
    <row r="128" spans="1:72" s="269" customFormat="1" ht="18.75">
      <c r="A128" s="530"/>
      <c r="B128" s="530"/>
      <c r="C128" s="530"/>
      <c r="V128" s="803"/>
      <c r="W128" s="537"/>
      <c r="BC128" s="283"/>
      <c r="BD128" s="283"/>
      <c r="BE128" s="283"/>
      <c r="BF128" s="283"/>
      <c r="BG128" s="283"/>
      <c r="BH128" s="283"/>
      <c r="BI128" s="283"/>
      <c r="BT128" s="537"/>
    </row>
    <row r="129" spans="1:72" s="269" customFormat="1" ht="18.75">
      <c r="A129" s="530"/>
      <c r="B129" s="530"/>
      <c r="C129" s="530"/>
      <c r="V129" s="803"/>
      <c r="W129" s="537"/>
      <c r="BC129" s="283"/>
      <c r="BD129" s="283"/>
      <c r="BE129" s="283"/>
      <c r="BF129" s="283"/>
      <c r="BG129" s="283"/>
      <c r="BH129" s="283"/>
      <c r="BI129" s="283"/>
      <c r="BT129" s="537"/>
    </row>
    <row r="130" spans="1:72" s="269" customFormat="1" ht="18.75">
      <c r="A130" s="530"/>
      <c r="B130" s="530"/>
      <c r="C130" s="530"/>
      <c r="V130" s="803"/>
      <c r="W130" s="537"/>
      <c r="BC130" s="283"/>
      <c r="BD130" s="283"/>
      <c r="BE130" s="283"/>
      <c r="BF130" s="283"/>
      <c r="BG130" s="283"/>
      <c r="BH130" s="283"/>
      <c r="BI130" s="283"/>
      <c r="BT130" s="537"/>
    </row>
    <row r="131" spans="1:72" s="269" customFormat="1" ht="18.75">
      <c r="A131" s="530"/>
      <c r="B131" s="530"/>
      <c r="C131" s="530"/>
      <c r="V131" s="803"/>
      <c r="W131" s="537"/>
      <c r="BC131" s="283"/>
      <c r="BD131" s="283"/>
      <c r="BE131" s="283"/>
      <c r="BF131" s="283"/>
      <c r="BG131" s="283"/>
      <c r="BH131" s="283"/>
      <c r="BI131" s="283"/>
      <c r="BT131" s="537"/>
    </row>
    <row r="132" spans="1:72" s="269" customFormat="1" ht="18.75">
      <c r="A132" s="530"/>
      <c r="B132" s="530"/>
      <c r="C132" s="530"/>
      <c r="V132" s="803"/>
      <c r="W132" s="537"/>
      <c r="BC132" s="283"/>
      <c r="BD132" s="283"/>
      <c r="BE132" s="283"/>
      <c r="BF132" s="283"/>
      <c r="BG132" s="283"/>
      <c r="BH132" s="283"/>
      <c r="BI132" s="283"/>
      <c r="BT132" s="537"/>
    </row>
    <row r="133" spans="1:72" s="269" customFormat="1" ht="18.75">
      <c r="A133" s="530"/>
      <c r="B133" s="530"/>
      <c r="C133" s="530"/>
      <c r="V133" s="803"/>
      <c r="W133" s="537"/>
      <c r="BC133" s="283"/>
      <c r="BD133" s="283"/>
      <c r="BE133" s="283"/>
      <c r="BF133" s="283"/>
      <c r="BG133" s="283"/>
      <c r="BH133" s="283"/>
      <c r="BI133" s="283"/>
      <c r="BT133" s="537"/>
    </row>
    <row r="134" spans="1:72" s="270" customFormat="1">
      <c r="V134" s="271"/>
      <c r="W134" s="480"/>
      <c r="BC134" s="283"/>
      <c r="BD134" s="283"/>
      <c r="BE134" s="283"/>
      <c r="BF134" s="283"/>
      <c r="BG134" s="283"/>
      <c r="BH134" s="283"/>
      <c r="BI134" s="283"/>
      <c r="BT134" s="480"/>
    </row>
    <row r="135" spans="1:72" s="269" customFormat="1" ht="18.75">
      <c r="A135" s="530"/>
      <c r="B135" s="530"/>
      <c r="C135" s="530"/>
      <c r="V135" s="803"/>
      <c r="W135" s="537"/>
      <c r="BC135" s="283"/>
      <c r="BD135" s="283"/>
      <c r="BE135" s="283"/>
      <c r="BF135" s="283"/>
      <c r="BG135" s="283"/>
      <c r="BH135" s="283"/>
      <c r="BI135" s="283"/>
      <c r="BT135" s="537"/>
    </row>
    <row r="136" spans="1:72" s="269" customFormat="1" ht="21.75" customHeight="1">
      <c r="A136" s="530"/>
      <c r="B136" s="530"/>
      <c r="C136" s="530"/>
      <c r="V136" s="803"/>
      <c r="W136" s="537"/>
      <c r="BC136" s="283"/>
      <c r="BD136" s="283"/>
      <c r="BE136" s="283"/>
      <c r="BF136" s="283"/>
      <c r="BG136" s="283"/>
      <c r="BH136" s="283"/>
      <c r="BI136" s="283"/>
      <c r="BT136" s="537"/>
    </row>
    <row r="137" spans="1:72" s="269" customFormat="1" ht="18.75">
      <c r="A137" s="530"/>
      <c r="B137" s="530"/>
      <c r="C137" s="530"/>
      <c r="V137" s="803"/>
      <c r="W137" s="537"/>
      <c r="BC137" s="283"/>
      <c r="BD137" s="283"/>
      <c r="BE137" s="283"/>
      <c r="BF137" s="283"/>
      <c r="BG137" s="283"/>
      <c r="BH137" s="283"/>
      <c r="BI137" s="283"/>
      <c r="BT137" s="537"/>
    </row>
    <row r="138" spans="1:72" s="269" customFormat="1" ht="18.75">
      <c r="A138" s="530"/>
      <c r="B138" s="530"/>
      <c r="C138" s="530"/>
      <c r="V138" s="803"/>
      <c r="W138" s="537"/>
      <c r="BC138" s="283"/>
      <c r="BD138" s="283"/>
      <c r="BE138" s="283"/>
      <c r="BF138" s="283"/>
      <c r="BG138" s="283"/>
      <c r="BH138" s="283"/>
      <c r="BI138" s="283"/>
      <c r="BT138" s="537"/>
    </row>
    <row r="139" spans="1:72" s="269" customFormat="1" ht="18.75">
      <c r="A139" s="530"/>
      <c r="B139" s="530"/>
      <c r="C139" s="530"/>
      <c r="V139" s="803"/>
      <c r="W139" s="537"/>
      <c r="BC139" s="283"/>
      <c r="BD139" s="283"/>
      <c r="BE139" s="283"/>
      <c r="BF139" s="283"/>
      <c r="BG139" s="283"/>
      <c r="BH139" s="283"/>
      <c r="BI139" s="283"/>
      <c r="BT139" s="537"/>
    </row>
    <row r="140" spans="1:72" s="269" customFormat="1" ht="18.75">
      <c r="A140" s="530"/>
      <c r="B140" s="530"/>
      <c r="C140" s="530"/>
      <c r="V140" s="803"/>
      <c r="W140" s="537"/>
      <c r="BC140" s="283"/>
      <c r="BD140" s="283"/>
      <c r="BE140" s="283"/>
      <c r="BF140" s="283"/>
      <c r="BG140" s="283"/>
      <c r="BH140" s="283"/>
      <c r="BI140" s="283"/>
      <c r="BT140" s="537"/>
    </row>
    <row r="141" spans="1:72" s="269" customFormat="1" ht="18.75">
      <c r="A141" s="530"/>
      <c r="B141" s="530"/>
      <c r="C141" s="530"/>
      <c r="V141" s="803"/>
      <c r="W141" s="537"/>
      <c r="BC141" s="283"/>
      <c r="BD141" s="283"/>
      <c r="BE141" s="283"/>
      <c r="BF141" s="283"/>
      <c r="BG141" s="283"/>
      <c r="BH141" s="283"/>
      <c r="BI141" s="283"/>
      <c r="BT141" s="537"/>
    </row>
    <row r="142" spans="1:72" s="269" customFormat="1" ht="18.75">
      <c r="A142" s="530"/>
      <c r="B142" s="530"/>
      <c r="C142" s="530"/>
      <c r="V142" s="803"/>
      <c r="W142" s="537"/>
      <c r="BC142" s="283"/>
      <c r="BD142" s="283"/>
      <c r="BE142" s="283"/>
      <c r="BF142" s="283"/>
      <c r="BG142" s="283"/>
      <c r="BH142" s="283"/>
      <c r="BI142" s="283"/>
      <c r="BT142" s="537"/>
    </row>
    <row r="143" spans="1:72" s="269" customFormat="1" ht="18.75">
      <c r="A143" s="530"/>
      <c r="B143" s="530"/>
      <c r="C143" s="530"/>
      <c r="V143" s="803"/>
      <c r="W143" s="537"/>
      <c r="BC143" s="283"/>
      <c r="BD143" s="283"/>
      <c r="BE143" s="283"/>
      <c r="BF143" s="283"/>
      <c r="BG143" s="283"/>
      <c r="BH143" s="283"/>
      <c r="BI143" s="283"/>
      <c r="BT143" s="537"/>
    </row>
    <row r="144" spans="1:72" s="269" customFormat="1" ht="18.75">
      <c r="A144" s="530"/>
      <c r="B144" s="530"/>
      <c r="C144" s="530"/>
      <c r="V144" s="803"/>
      <c r="W144" s="537"/>
      <c r="BC144" s="283"/>
      <c r="BD144" s="283"/>
      <c r="BE144" s="283"/>
      <c r="BF144" s="283"/>
      <c r="BG144" s="283"/>
      <c r="BH144" s="283"/>
      <c r="BI144" s="283"/>
      <c r="BT144" s="537"/>
    </row>
    <row r="145" spans="1:72" s="269" customFormat="1">
      <c r="A145" s="530"/>
      <c r="B145" s="530"/>
      <c r="C145" s="530"/>
      <c r="V145" s="803"/>
      <c r="W145" s="537"/>
      <c r="BC145" s="270"/>
      <c r="BD145" s="270"/>
      <c r="BE145" s="270"/>
      <c r="BF145" s="270"/>
      <c r="BG145" s="270"/>
      <c r="BH145" s="270"/>
      <c r="BI145" s="270"/>
      <c r="BT145" s="537"/>
    </row>
    <row r="146" spans="1:72" s="269" customFormat="1">
      <c r="A146" s="530"/>
      <c r="B146" s="530"/>
      <c r="C146" s="530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  <c r="N146" s="268"/>
      <c r="O146" s="268"/>
      <c r="P146" s="268"/>
      <c r="Q146" s="268"/>
      <c r="R146" s="268"/>
      <c r="S146" s="268"/>
      <c r="T146" s="268"/>
      <c r="V146" s="803"/>
      <c r="W146" s="537"/>
      <c r="BT146" s="537"/>
    </row>
    <row r="147" spans="1:72" s="269" customFormat="1" ht="18.75">
      <c r="A147" s="530"/>
      <c r="B147" s="530"/>
      <c r="C147" s="530"/>
      <c r="U147" s="531"/>
      <c r="V147" s="803"/>
      <c r="W147" s="537"/>
      <c r="BT147" s="537"/>
    </row>
    <row r="148" spans="1:72" s="269" customFormat="1" ht="18.75">
      <c r="A148" s="530"/>
      <c r="B148" s="530"/>
      <c r="C148" s="530"/>
      <c r="U148" s="531"/>
      <c r="V148" s="803"/>
      <c r="W148" s="537"/>
      <c r="BT148" s="537"/>
    </row>
    <row r="149" spans="1:72" s="269" customFormat="1" ht="18.75">
      <c r="A149" s="530"/>
      <c r="B149" s="530"/>
      <c r="C149" s="530"/>
      <c r="U149" s="531"/>
      <c r="V149" s="803"/>
      <c r="W149" s="537"/>
      <c r="BT149" s="537"/>
    </row>
    <row r="150" spans="1:72" s="269" customFormat="1" ht="18.75">
      <c r="A150" s="530"/>
      <c r="B150" s="530"/>
      <c r="C150" s="530"/>
      <c r="U150" s="531"/>
      <c r="V150" s="803"/>
      <c r="W150" s="537"/>
      <c r="BT150" s="537"/>
    </row>
    <row r="151" spans="1:72" s="269" customFormat="1" ht="18.75">
      <c r="A151" s="530"/>
      <c r="B151" s="530"/>
      <c r="C151" s="530"/>
      <c r="U151" s="531"/>
      <c r="V151" s="803"/>
      <c r="W151" s="537"/>
      <c r="BT151" s="537"/>
    </row>
    <row r="152" spans="1:72" s="269" customFormat="1" ht="18.75">
      <c r="A152" s="530"/>
      <c r="B152" s="530"/>
      <c r="C152" s="530"/>
      <c r="V152" s="803"/>
      <c r="W152" s="537"/>
      <c r="BT152" s="537"/>
    </row>
    <row r="153" spans="1:72" s="269" customFormat="1" ht="18.75">
      <c r="A153" s="530"/>
      <c r="B153" s="530"/>
      <c r="C153" s="530"/>
      <c r="U153" s="531"/>
      <c r="V153" s="803"/>
      <c r="W153" s="537"/>
      <c r="BT153" s="537"/>
    </row>
    <row r="154" spans="1:72" s="269" customFormat="1" ht="18.75">
      <c r="A154" s="530"/>
      <c r="B154" s="530"/>
      <c r="C154" s="530"/>
      <c r="U154" s="807"/>
      <c r="V154" s="803"/>
      <c r="W154" s="537"/>
      <c r="BT154" s="537"/>
    </row>
    <row r="155" spans="1:72" s="269" customFormat="1" ht="18.75">
      <c r="A155" s="530"/>
      <c r="B155" s="530"/>
      <c r="C155" s="530"/>
      <c r="V155" s="803"/>
      <c r="W155" s="537"/>
      <c r="BT155" s="537"/>
    </row>
    <row r="156" spans="1:72" s="269" customFormat="1" ht="18.75">
      <c r="A156" s="530"/>
      <c r="B156" s="530"/>
      <c r="C156" s="530"/>
      <c r="V156" s="803"/>
      <c r="W156" s="537"/>
      <c r="BT156" s="537"/>
    </row>
    <row r="157" spans="1:72" s="269" customFormat="1" ht="18.75">
      <c r="A157" s="530"/>
      <c r="B157" s="530"/>
      <c r="C157" s="530"/>
      <c r="V157" s="803"/>
      <c r="W157" s="537"/>
      <c r="BT157" s="537"/>
    </row>
    <row r="158" spans="1:72" s="269" customFormat="1" ht="18.75">
      <c r="A158" s="530"/>
      <c r="B158" s="530"/>
      <c r="C158" s="530"/>
      <c r="V158" s="803"/>
      <c r="W158" s="537"/>
      <c r="BT158" s="537"/>
    </row>
    <row r="159" spans="1:72" s="269" customFormat="1" ht="18.75">
      <c r="A159" s="530"/>
      <c r="B159" s="530"/>
      <c r="C159" s="530"/>
      <c r="V159" s="803"/>
      <c r="W159" s="537"/>
      <c r="BT159" s="537"/>
    </row>
    <row r="160" spans="1:72" s="269" customFormat="1" ht="18.75">
      <c r="A160" s="530"/>
      <c r="B160" s="530"/>
      <c r="C160" s="530"/>
      <c r="V160" s="803"/>
      <c r="W160" s="537"/>
      <c r="BT160" s="537"/>
    </row>
    <row r="161" spans="1:72" s="269" customFormat="1" ht="18.75">
      <c r="A161" s="530"/>
      <c r="B161" s="530"/>
      <c r="C161" s="530"/>
      <c r="V161" s="803"/>
      <c r="W161" s="537"/>
      <c r="BT161" s="537"/>
    </row>
    <row r="162" spans="1:72" s="269" customFormat="1" ht="18.75">
      <c r="A162" s="530"/>
      <c r="B162" s="530"/>
      <c r="C162" s="530"/>
      <c r="V162" s="803"/>
      <c r="W162" s="537"/>
      <c r="BT162" s="537"/>
    </row>
    <row r="163" spans="1:72" s="269" customFormat="1" ht="18.75">
      <c r="A163" s="530"/>
      <c r="B163" s="530"/>
      <c r="C163" s="530"/>
      <c r="V163" s="803"/>
      <c r="W163" s="537"/>
      <c r="BT163" s="537"/>
    </row>
    <row r="164" spans="1:72" s="269" customFormat="1" ht="18.75">
      <c r="A164" s="530"/>
      <c r="B164" s="530"/>
      <c r="C164" s="530"/>
      <c r="U164" s="807"/>
      <c r="V164" s="803"/>
      <c r="W164" s="537"/>
      <c r="BT164" s="537"/>
    </row>
    <row r="165" spans="1:72" s="269" customFormat="1" ht="18.75">
      <c r="A165" s="530"/>
      <c r="B165" s="530"/>
      <c r="C165" s="530"/>
      <c r="V165" s="803"/>
      <c r="W165" s="537"/>
      <c r="BT165" s="537"/>
    </row>
    <row r="166" spans="1:72" s="269" customFormat="1" ht="18.75">
      <c r="A166" s="530"/>
      <c r="B166" s="530"/>
      <c r="C166" s="530"/>
      <c r="V166" s="803"/>
      <c r="W166" s="537"/>
      <c r="BT166" s="537"/>
    </row>
    <row r="167" spans="1:72" s="269" customFormat="1" ht="18.75">
      <c r="A167" s="530"/>
      <c r="B167" s="530"/>
      <c r="C167" s="530"/>
      <c r="V167" s="803"/>
      <c r="W167" s="537"/>
      <c r="BT167" s="537"/>
    </row>
    <row r="168" spans="1:72" s="269" customFormat="1" ht="18.75">
      <c r="A168" s="530"/>
      <c r="B168" s="530"/>
      <c r="C168" s="530"/>
      <c r="V168" s="803"/>
      <c r="W168" s="537"/>
      <c r="BT168" s="537"/>
    </row>
    <row r="169" spans="1:72" s="269" customFormat="1" ht="18.75">
      <c r="A169" s="530"/>
      <c r="B169" s="530"/>
      <c r="C169" s="530"/>
      <c r="V169" s="803"/>
      <c r="W169" s="537"/>
      <c r="BT169" s="537"/>
    </row>
    <row r="170" spans="1:72" s="269" customFormat="1" ht="18.75">
      <c r="A170" s="530"/>
      <c r="B170" s="530"/>
      <c r="C170" s="530"/>
      <c r="V170" s="803"/>
      <c r="W170" s="537"/>
      <c r="BT170" s="537"/>
    </row>
    <row r="171" spans="1:72" s="269" customFormat="1" ht="18.75">
      <c r="A171" s="530"/>
      <c r="B171" s="530"/>
      <c r="C171" s="530"/>
      <c r="V171" s="803"/>
      <c r="W171" s="537"/>
      <c r="BT171" s="537"/>
    </row>
    <row r="172" spans="1:72" s="269" customFormat="1" ht="18.75">
      <c r="A172" s="530"/>
      <c r="B172" s="530"/>
      <c r="C172" s="530"/>
      <c r="V172" s="803"/>
      <c r="W172" s="537"/>
      <c r="BT172" s="537"/>
    </row>
    <row r="173" spans="1:72" s="269" customFormat="1" ht="18.75">
      <c r="A173" s="530"/>
      <c r="B173" s="530"/>
      <c r="C173" s="530"/>
      <c r="V173" s="803"/>
      <c r="W173" s="537"/>
      <c r="BT173" s="537"/>
    </row>
    <row r="174" spans="1:72" s="269" customFormat="1" ht="18.75">
      <c r="A174" s="530"/>
      <c r="B174" s="530"/>
      <c r="C174" s="530"/>
      <c r="V174" s="803"/>
      <c r="W174" s="537"/>
      <c r="BT174" s="537"/>
    </row>
    <row r="175" spans="1:72" s="269" customFormat="1" ht="18.75">
      <c r="A175" s="530"/>
      <c r="B175" s="530"/>
      <c r="C175" s="530"/>
      <c r="V175" s="803"/>
      <c r="W175" s="537"/>
      <c r="BT175" s="537"/>
    </row>
    <row r="176" spans="1:72" s="269" customFormat="1" ht="18.75">
      <c r="A176" s="530"/>
      <c r="B176" s="530"/>
      <c r="C176" s="530"/>
      <c r="V176" s="803"/>
      <c r="W176" s="537"/>
      <c r="BT176" s="537"/>
    </row>
    <row r="177" spans="1:72" s="269" customFormat="1" ht="18.75">
      <c r="A177" s="530"/>
      <c r="B177" s="530"/>
      <c r="C177" s="530"/>
      <c r="U177" s="531"/>
      <c r="V177" s="803"/>
      <c r="W177" s="537"/>
      <c r="BT177" s="537"/>
    </row>
    <row r="178" spans="1:72" s="269" customFormat="1" ht="18.75">
      <c r="A178" s="530"/>
      <c r="B178" s="530"/>
      <c r="C178" s="530"/>
      <c r="U178" s="531"/>
      <c r="V178" s="803"/>
      <c r="W178" s="537"/>
      <c r="BT178" s="537"/>
    </row>
    <row r="179" spans="1:72" s="269" customFormat="1" ht="18.75">
      <c r="A179" s="530"/>
      <c r="B179" s="530"/>
      <c r="C179" s="530"/>
      <c r="U179" s="531"/>
      <c r="V179" s="803"/>
      <c r="W179" s="537"/>
      <c r="BT179" s="537"/>
    </row>
    <row r="180" spans="1:72" s="269" customFormat="1" ht="18.75">
      <c r="A180" s="530"/>
      <c r="B180" s="530"/>
      <c r="C180" s="530"/>
      <c r="U180" s="531"/>
      <c r="V180" s="803"/>
      <c r="W180" s="537"/>
      <c r="BT180" s="537"/>
    </row>
    <row r="181" spans="1:72" s="269" customFormat="1" ht="18.75">
      <c r="A181" s="530"/>
      <c r="B181" s="530"/>
      <c r="C181" s="530"/>
      <c r="U181" s="531"/>
      <c r="V181" s="803"/>
      <c r="W181" s="537"/>
      <c r="BT181" s="537"/>
    </row>
    <row r="182" spans="1:72" s="269" customFormat="1" ht="18.75">
      <c r="A182" s="530"/>
      <c r="B182" s="530"/>
      <c r="C182" s="530"/>
      <c r="V182" s="803"/>
      <c r="W182" s="537"/>
      <c r="BT182" s="537"/>
    </row>
    <row r="183" spans="1:72" s="269" customFormat="1" ht="18.75">
      <c r="A183" s="530"/>
      <c r="B183" s="530"/>
      <c r="C183" s="530"/>
      <c r="U183" s="531"/>
      <c r="V183" s="803"/>
      <c r="W183" s="537"/>
      <c r="BT183" s="537"/>
    </row>
    <row r="184" spans="1:72" s="269" customFormat="1" ht="18.75">
      <c r="A184" s="530"/>
      <c r="B184" s="530"/>
      <c r="C184" s="530"/>
      <c r="U184" s="807"/>
      <c r="V184" s="803"/>
      <c r="W184" s="537"/>
      <c r="BT184" s="537"/>
    </row>
    <row r="185" spans="1:72" s="269" customFormat="1" ht="18.75">
      <c r="A185" s="530"/>
      <c r="B185" s="530"/>
      <c r="C185" s="530"/>
      <c r="V185" s="803"/>
      <c r="W185" s="537"/>
      <c r="BT185" s="537"/>
    </row>
    <row r="186" spans="1:72" s="269" customFormat="1" ht="18.75">
      <c r="A186" s="530"/>
      <c r="B186" s="530"/>
      <c r="C186" s="530"/>
      <c r="V186" s="803"/>
      <c r="W186" s="537"/>
      <c r="BT186" s="537"/>
    </row>
    <row r="187" spans="1:72" s="269" customFormat="1" ht="18.75">
      <c r="A187" s="530"/>
      <c r="B187" s="530"/>
      <c r="C187" s="530"/>
      <c r="V187" s="803"/>
      <c r="W187" s="537"/>
      <c r="BT187" s="537"/>
    </row>
    <row r="188" spans="1:72" s="269" customFormat="1" ht="18.75">
      <c r="A188" s="530"/>
      <c r="B188" s="530"/>
      <c r="C188" s="530"/>
      <c r="V188" s="803"/>
      <c r="W188" s="537"/>
      <c r="BT188" s="537"/>
    </row>
    <row r="189" spans="1:72" s="269" customFormat="1" ht="18.75">
      <c r="A189" s="530"/>
      <c r="B189" s="530"/>
      <c r="C189" s="530"/>
      <c r="V189" s="803"/>
      <c r="W189" s="537"/>
      <c r="BT189" s="537"/>
    </row>
    <row r="190" spans="1:72" s="269" customFormat="1" ht="18.75">
      <c r="A190" s="530"/>
      <c r="B190" s="530"/>
      <c r="C190" s="530"/>
      <c r="V190" s="803"/>
      <c r="W190" s="537"/>
      <c r="BT190" s="537"/>
    </row>
    <row r="191" spans="1:72" s="269" customFormat="1" ht="18.75">
      <c r="A191" s="530"/>
      <c r="B191" s="530"/>
      <c r="C191" s="530"/>
      <c r="V191" s="803"/>
      <c r="W191" s="537"/>
      <c r="BT191" s="537"/>
    </row>
    <row r="192" spans="1:72" s="269" customFormat="1" ht="18.75">
      <c r="A192" s="530"/>
      <c r="B192" s="530"/>
      <c r="C192" s="530"/>
      <c r="V192" s="803"/>
      <c r="W192" s="537"/>
      <c r="BT192" s="537"/>
    </row>
    <row r="193" spans="1:72" s="269" customFormat="1" ht="18.75">
      <c r="A193" s="530"/>
      <c r="B193" s="530"/>
      <c r="C193" s="530"/>
      <c r="V193" s="803"/>
      <c r="W193" s="537"/>
      <c r="BT193" s="537"/>
    </row>
    <row r="194" spans="1:72" s="269" customFormat="1" ht="18.75">
      <c r="A194" s="530"/>
      <c r="B194" s="530"/>
      <c r="C194" s="530"/>
      <c r="U194" s="807"/>
      <c r="V194" s="803"/>
      <c r="W194" s="537"/>
      <c r="BT194" s="537"/>
    </row>
    <row r="195" spans="1:72" s="269" customFormat="1" ht="18.75">
      <c r="A195" s="530"/>
      <c r="B195" s="530"/>
      <c r="C195" s="530"/>
      <c r="V195" s="803"/>
      <c r="W195" s="537"/>
      <c r="BT195" s="537"/>
    </row>
    <row r="196" spans="1:72" s="269" customFormat="1" ht="18.75">
      <c r="A196" s="530"/>
      <c r="B196" s="530"/>
      <c r="C196" s="530"/>
      <c r="V196" s="803"/>
      <c r="W196" s="537"/>
      <c r="BT196" s="537"/>
    </row>
    <row r="197" spans="1:72" s="269" customFormat="1" ht="18.75">
      <c r="A197" s="530"/>
      <c r="B197" s="530"/>
      <c r="C197" s="530"/>
      <c r="V197" s="803"/>
      <c r="W197" s="537"/>
      <c r="BT197" s="537"/>
    </row>
    <row r="198" spans="1:72" s="269" customFormat="1" ht="18.75">
      <c r="A198" s="530"/>
      <c r="B198" s="530"/>
      <c r="C198" s="530"/>
      <c r="V198" s="803"/>
      <c r="W198" s="537"/>
      <c r="BT198" s="537"/>
    </row>
    <row r="199" spans="1:72" s="269" customFormat="1" ht="18.75">
      <c r="A199" s="530"/>
      <c r="B199" s="530"/>
      <c r="C199" s="530"/>
      <c r="V199" s="803"/>
      <c r="W199" s="537"/>
      <c r="BT199" s="537"/>
    </row>
    <row r="200" spans="1:72" s="269" customFormat="1" ht="18.75">
      <c r="A200" s="530"/>
      <c r="B200" s="530"/>
      <c r="C200" s="530"/>
      <c r="V200" s="803"/>
      <c r="W200" s="537"/>
      <c r="BT200" s="537"/>
    </row>
    <row r="201" spans="1:72" s="269" customFormat="1" ht="18.75">
      <c r="A201" s="530"/>
      <c r="B201" s="530"/>
      <c r="C201" s="530"/>
      <c r="V201" s="803"/>
      <c r="W201" s="537"/>
      <c r="BT201" s="537"/>
    </row>
    <row r="202" spans="1:72" s="269" customFormat="1" ht="18.75">
      <c r="A202" s="530"/>
      <c r="B202" s="530"/>
      <c r="C202" s="530"/>
      <c r="V202" s="803"/>
      <c r="W202" s="537"/>
      <c r="BT202" s="537"/>
    </row>
    <row r="203" spans="1:72" s="269" customFormat="1" ht="18.75">
      <c r="A203" s="530"/>
      <c r="B203" s="530"/>
      <c r="C203" s="530"/>
      <c r="V203" s="803"/>
      <c r="W203" s="537"/>
      <c r="BT203" s="537"/>
    </row>
    <row r="204" spans="1:72" s="269" customFormat="1" ht="18.75">
      <c r="A204" s="530"/>
      <c r="B204" s="530"/>
      <c r="C204" s="530"/>
      <c r="V204" s="803"/>
      <c r="W204" s="537"/>
      <c r="BT204" s="537"/>
    </row>
    <row r="205" spans="1:72" s="269" customFormat="1" ht="18.75">
      <c r="A205" s="530"/>
      <c r="B205" s="530"/>
      <c r="C205" s="530"/>
      <c r="V205" s="803"/>
      <c r="W205" s="537"/>
      <c r="BT205" s="537"/>
    </row>
    <row r="206" spans="1:72" s="269" customFormat="1" ht="18.75">
      <c r="A206" s="530"/>
      <c r="B206" s="530"/>
      <c r="C206" s="530"/>
      <c r="V206" s="803"/>
      <c r="W206" s="537"/>
      <c r="BT206" s="537"/>
    </row>
    <row r="207" spans="1:72" s="269" customFormat="1" ht="18.75">
      <c r="A207" s="530"/>
      <c r="B207" s="530"/>
      <c r="C207" s="530"/>
      <c r="U207" s="531"/>
      <c r="V207" s="803"/>
      <c r="W207" s="537"/>
      <c r="BT207" s="537"/>
    </row>
    <row r="208" spans="1:72" s="269" customFormat="1" ht="18.75">
      <c r="A208" s="530"/>
      <c r="B208" s="530"/>
      <c r="C208" s="530"/>
      <c r="U208" s="531"/>
      <c r="V208" s="803"/>
      <c r="W208" s="537"/>
      <c r="BT208" s="537"/>
    </row>
    <row r="209" spans="1:72" s="269" customFormat="1" ht="18.75">
      <c r="A209" s="530"/>
      <c r="B209" s="530"/>
      <c r="C209" s="530"/>
      <c r="U209" s="531"/>
      <c r="V209" s="803"/>
      <c r="W209" s="537"/>
      <c r="BT209" s="537"/>
    </row>
    <row r="210" spans="1:72" s="269" customFormat="1" ht="18.75">
      <c r="A210" s="530"/>
      <c r="B210" s="530"/>
      <c r="C210" s="530"/>
      <c r="U210" s="531"/>
      <c r="V210" s="803"/>
      <c r="W210" s="537"/>
      <c r="BT210" s="537"/>
    </row>
    <row r="211" spans="1:72" s="269" customFormat="1" ht="18.75">
      <c r="A211" s="530"/>
      <c r="B211" s="530"/>
      <c r="C211" s="530"/>
      <c r="U211" s="531"/>
      <c r="V211" s="803"/>
      <c r="W211" s="537"/>
      <c r="BT211" s="537"/>
    </row>
    <row r="212" spans="1:72" s="269" customFormat="1" ht="18.75">
      <c r="A212" s="530"/>
      <c r="B212" s="530"/>
      <c r="C212" s="530"/>
      <c r="V212" s="803"/>
      <c r="W212" s="537"/>
      <c r="BT212" s="537"/>
    </row>
    <row r="213" spans="1:72" s="269" customFormat="1" ht="18.75">
      <c r="A213" s="530"/>
      <c r="B213" s="530"/>
      <c r="C213" s="530"/>
      <c r="U213" s="531"/>
      <c r="V213" s="803"/>
      <c r="W213" s="537"/>
      <c r="BT213" s="537"/>
    </row>
    <row r="214" spans="1:72" s="269" customFormat="1" ht="18.75">
      <c r="A214" s="530"/>
      <c r="B214" s="530"/>
      <c r="C214" s="530"/>
      <c r="U214" s="807"/>
      <c r="V214" s="803"/>
      <c r="W214" s="537"/>
      <c r="BT214" s="537"/>
    </row>
    <row r="215" spans="1:72" s="269" customFormat="1" ht="18.75">
      <c r="A215" s="530"/>
      <c r="B215" s="530"/>
      <c r="C215" s="530"/>
      <c r="V215" s="803"/>
      <c r="W215" s="537"/>
      <c r="BT215" s="537"/>
    </row>
    <row r="216" spans="1:72" s="269" customFormat="1" ht="18.75">
      <c r="A216" s="530"/>
      <c r="B216" s="530"/>
      <c r="C216" s="530"/>
      <c r="V216" s="803"/>
      <c r="W216" s="537"/>
      <c r="BT216" s="537"/>
    </row>
    <row r="217" spans="1:72" s="269" customFormat="1" ht="18.75">
      <c r="A217" s="530"/>
      <c r="B217" s="530"/>
      <c r="C217" s="530"/>
      <c r="V217" s="803"/>
      <c r="W217" s="537"/>
      <c r="BT217" s="537"/>
    </row>
    <row r="218" spans="1:72" s="269" customFormat="1" ht="18.75">
      <c r="A218" s="530"/>
      <c r="B218" s="530"/>
      <c r="C218" s="530"/>
      <c r="V218" s="803"/>
      <c r="W218" s="537"/>
      <c r="BT218" s="537"/>
    </row>
    <row r="219" spans="1:72" s="269" customFormat="1" ht="18.75">
      <c r="A219" s="530"/>
      <c r="B219" s="530"/>
      <c r="C219" s="530"/>
      <c r="V219" s="803"/>
      <c r="W219" s="537"/>
      <c r="BT219" s="537"/>
    </row>
    <row r="220" spans="1:72" s="269" customFormat="1" ht="18.75">
      <c r="A220" s="530"/>
      <c r="B220" s="530"/>
      <c r="C220" s="530"/>
      <c r="V220" s="803"/>
      <c r="W220" s="537"/>
      <c r="BT220" s="537"/>
    </row>
    <row r="221" spans="1:72" s="269" customFormat="1" ht="18.75">
      <c r="A221" s="530"/>
      <c r="B221" s="530"/>
      <c r="C221" s="530"/>
      <c r="V221" s="803"/>
      <c r="W221" s="537"/>
      <c r="BT221" s="537"/>
    </row>
    <row r="222" spans="1:72" s="269" customFormat="1" ht="18.75">
      <c r="A222" s="530"/>
      <c r="B222" s="530"/>
      <c r="C222" s="530"/>
      <c r="V222" s="803"/>
      <c r="W222" s="537"/>
      <c r="BT222" s="537"/>
    </row>
    <row r="223" spans="1:72" s="269" customFormat="1" ht="18.75">
      <c r="A223" s="530"/>
      <c r="B223" s="530"/>
      <c r="C223" s="530"/>
      <c r="V223" s="803"/>
      <c r="W223" s="537"/>
      <c r="BT223" s="537"/>
    </row>
    <row r="224" spans="1:72" s="269" customFormat="1" ht="18.75">
      <c r="A224" s="530"/>
      <c r="B224" s="530"/>
      <c r="C224" s="530"/>
      <c r="U224" s="807"/>
      <c r="V224" s="803"/>
      <c r="W224" s="537"/>
      <c r="BT224" s="537"/>
    </row>
    <row r="225" spans="1:72" s="269" customFormat="1" ht="18.75">
      <c r="A225" s="530"/>
      <c r="B225" s="530"/>
      <c r="C225" s="530"/>
      <c r="V225" s="803"/>
      <c r="W225" s="537"/>
      <c r="BT225" s="537"/>
    </row>
    <row r="226" spans="1:72" s="269" customFormat="1" ht="18.75">
      <c r="A226" s="530"/>
      <c r="B226" s="530"/>
      <c r="C226" s="530"/>
      <c r="V226" s="803"/>
      <c r="W226" s="537"/>
      <c r="BT226" s="537"/>
    </row>
    <row r="227" spans="1:72" s="269" customFormat="1" ht="18.75">
      <c r="A227" s="530"/>
      <c r="B227" s="530"/>
      <c r="C227" s="530"/>
      <c r="V227" s="803"/>
      <c r="W227" s="537"/>
      <c r="BT227" s="537"/>
    </row>
    <row r="228" spans="1:72" s="269" customFormat="1" ht="18.75">
      <c r="A228" s="530"/>
      <c r="B228" s="530"/>
      <c r="C228" s="530"/>
      <c r="V228" s="803"/>
      <c r="W228" s="537"/>
      <c r="BT228" s="537"/>
    </row>
    <row r="229" spans="1:72" s="269" customFormat="1" ht="18.75">
      <c r="A229" s="530"/>
      <c r="B229" s="530"/>
      <c r="C229" s="530"/>
      <c r="V229" s="803"/>
      <c r="W229" s="537"/>
      <c r="BT229" s="537"/>
    </row>
    <row r="230" spans="1:72" s="269" customFormat="1" ht="18.75">
      <c r="A230" s="530"/>
      <c r="B230" s="530"/>
      <c r="C230" s="530"/>
      <c r="V230" s="803"/>
      <c r="W230" s="537"/>
      <c r="BT230" s="537"/>
    </row>
    <row r="231" spans="1:72" s="269" customFormat="1" ht="18.75">
      <c r="A231" s="530"/>
      <c r="B231" s="530"/>
      <c r="C231" s="530"/>
      <c r="V231" s="803"/>
      <c r="W231" s="537"/>
      <c r="BT231" s="537"/>
    </row>
    <row r="232" spans="1:72" s="269" customFormat="1" ht="18.75">
      <c r="A232" s="530"/>
      <c r="B232" s="530"/>
      <c r="C232" s="530"/>
      <c r="V232" s="803"/>
      <c r="W232" s="537"/>
      <c r="BT232" s="537"/>
    </row>
    <row r="233" spans="1:72" s="269" customFormat="1" ht="18.75">
      <c r="A233" s="530"/>
      <c r="B233" s="530"/>
      <c r="C233" s="530"/>
      <c r="V233" s="803"/>
      <c r="W233" s="537"/>
      <c r="BT233" s="537"/>
    </row>
    <row r="234" spans="1:72" s="269" customFormat="1" ht="18.75">
      <c r="A234" s="530"/>
      <c r="B234" s="530"/>
      <c r="C234" s="530"/>
      <c r="V234" s="803"/>
      <c r="W234" s="537"/>
      <c r="BT234" s="537"/>
    </row>
    <row r="235" spans="1:72" s="269" customFormat="1" ht="18.75">
      <c r="A235" s="530"/>
      <c r="B235" s="530"/>
      <c r="C235" s="530"/>
      <c r="V235" s="803"/>
      <c r="W235" s="537"/>
      <c r="BT235" s="537"/>
    </row>
    <row r="236" spans="1:72" s="269" customFormat="1" ht="18.75">
      <c r="A236" s="530"/>
      <c r="B236" s="530"/>
      <c r="C236" s="530"/>
      <c r="V236" s="803"/>
      <c r="W236" s="537"/>
      <c r="BT236" s="537"/>
    </row>
    <row r="237" spans="1:72" s="269" customFormat="1" ht="18.75">
      <c r="A237" s="530"/>
      <c r="B237" s="530"/>
      <c r="C237" s="530"/>
      <c r="U237" s="531"/>
      <c r="V237" s="803"/>
      <c r="W237" s="537"/>
      <c r="BT237" s="537"/>
    </row>
    <row r="238" spans="1:72" s="269" customFormat="1" ht="18.75">
      <c r="A238" s="530"/>
      <c r="B238" s="530"/>
      <c r="C238" s="530"/>
      <c r="U238" s="531"/>
      <c r="V238" s="803"/>
      <c r="W238" s="537"/>
      <c r="BT238" s="537"/>
    </row>
    <row r="239" spans="1:72" s="269" customFormat="1" ht="18.75">
      <c r="A239" s="530"/>
      <c r="B239" s="530"/>
      <c r="C239" s="530"/>
      <c r="U239" s="531"/>
      <c r="V239" s="803"/>
      <c r="W239" s="537"/>
      <c r="BT239" s="537"/>
    </row>
    <row r="240" spans="1:72" s="269" customFormat="1" ht="18.75">
      <c r="A240" s="530"/>
      <c r="B240" s="530"/>
      <c r="C240" s="530"/>
      <c r="U240" s="531"/>
      <c r="V240" s="803"/>
      <c r="W240" s="537"/>
      <c r="BT240" s="537"/>
    </row>
    <row r="241" spans="1:72" s="269" customFormat="1" ht="18.75">
      <c r="A241" s="530"/>
      <c r="B241" s="530"/>
      <c r="C241" s="530"/>
      <c r="U241" s="531"/>
      <c r="V241" s="803"/>
      <c r="W241" s="537"/>
      <c r="BT241" s="537"/>
    </row>
    <row r="242" spans="1:72" s="269" customFormat="1" ht="18.75">
      <c r="A242" s="530"/>
      <c r="B242" s="530"/>
      <c r="C242" s="530"/>
      <c r="V242" s="803"/>
      <c r="W242" s="537"/>
      <c r="BT242" s="537"/>
    </row>
    <row r="243" spans="1:72" s="269" customFormat="1" ht="18.75">
      <c r="A243" s="530"/>
      <c r="B243" s="530"/>
      <c r="C243" s="530"/>
      <c r="U243" s="531"/>
      <c r="V243" s="803"/>
      <c r="W243" s="537"/>
      <c r="BT243" s="537"/>
    </row>
    <row r="244" spans="1:72" s="269" customFormat="1" ht="18.75">
      <c r="A244" s="530"/>
      <c r="B244" s="530"/>
      <c r="C244" s="530"/>
      <c r="U244" s="807"/>
      <c r="V244" s="803"/>
      <c r="W244" s="537"/>
      <c r="BT244" s="537"/>
    </row>
    <row r="245" spans="1:72" s="269" customFormat="1" ht="18.75">
      <c r="A245" s="530"/>
      <c r="B245" s="530"/>
      <c r="C245" s="530"/>
      <c r="V245" s="803"/>
      <c r="W245" s="537"/>
      <c r="BT245" s="537"/>
    </row>
    <row r="246" spans="1:72" s="269" customFormat="1" ht="18.75">
      <c r="A246" s="530"/>
      <c r="B246" s="530"/>
      <c r="C246" s="530"/>
      <c r="V246" s="803"/>
      <c r="W246" s="537"/>
      <c r="BT246" s="537"/>
    </row>
    <row r="247" spans="1:72" s="269" customFormat="1" ht="18.75">
      <c r="A247" s="530"/>
      <c r="B247" s="530"/>
      <c r="C247" s="530"/>
      <c r="V247" s="803"/>
      <c r="W247" s="537"/>
      <c r="BT247" s="537"/>
    </row>
    <row r="248" spans="1:72" s="269" customFormat="1" ht="21.75" customHeight="1">
      <c r="A248" s="530"/>
      <c r="B248" s="530"/>
      <c r="C248" s="530"/>
      <c r="V248" s="803"/>
      <c r="W248" s="537"/>
      <c r="BT248" s="537"/>
    </row>
    <row r="249" spans="1:72" s="269" customFormat="1" ht="21.75" customHeight="1">
      <c r="A249" s="530"/>
      <c r="B249" s="530"/>
      <c r="C249" s="530"/>
      <c r="V249" s="803"/>
      <c r="W249" s="537"/>
      <c r="BT249" s="537"/>
    </row>
    <row r="250" spans="1:72" s="269" customFormat="1" ht="21.75" customHeight="1">
      <c r="A250" s="530"/>
      <c r="B250" s="530"/>
      <c r="C250" s="530"/>
      <c r="V250" s="803"/>
      <c r="W250" s="537"/>
      <c r="BT250" s="537"/>
    </row>
    <row r="251" spans="1:72" s="269" customFormat="1" ht="21.75" customHeight="1">
      <c r="A251" s="530"/>
      <c r="B251" s="530"/>
      <c r="C251" s="530"/>
      <c r="V251" s="803"/>
      <c r="W251" s="537"/>
      <c r="BT251" s="537"/>
    </row>
    <row r="252" spans="1:72" s="269" customFormat="1" ht="21.75" customHeight="1">
      <c r="A252" s="530"/>
      <c r="B252" s="530"/>
      <c r="C252" s="530"/>
      <c r="V252" s="803"/>
      <c r="W252" s="537"/>
      <c r="BT252" s="537"/>
    </row>
    <row r="253" spans="1:72" s="269" customFormat="1" ht="21.75" customHeight="1">
      <c r="A253" s="530"/>
      <c r="B253" s="530"/>
      <c r="C253" s="530"/>
      <c r="V253" s="803"/>
      <c r="W253" s="537"/>
      <c r="BT253" s="537"/>
    </row>
    <row r="254" spans="1:72" s="269" customFormat="1" ht="21.75" customHeight="1">
      <c r="A254" s="530"/>
      <c r="B254" s="530"/>
      <c r="C254" s="530"/>
      <c r="U254" s="807"/>
      <c r="V254" s="803"/>
      <c r="W254" s="537"/>
      <c r="BT254" s="537"/>
    </row>
    <row r="255" spans="1:72" s="269" customFormat="1" ht="21.75" customHeight="1">
      <c r="A255" s="530"/>
      <c r="B255" s="530"/>
      <c r="C255" s="530"/>
      <c r="V255" s="803"/>
      <c r="W255" s="537"/>
      <c r="BT255" s="537"/>
    </row>
    <row r="256" spans="1:72" s="269" customFormat="1" ht="21.75" customHeight="1">
      <c r="A256" s="530"/>
      <c r="B256" s="530"/>
      <c r="C256" s="530"/>
      <c r="V256" s="803"/>
      <c r="W256" s="537"/>
      <c r="BT256" s="537"/>
    </row>
    <row r="257" spans="1:72" s="269" customFormat="1" ht="21.75" customHeight="1">
      <c r="A257" s="530"/>
      <c r="B257" s="530"/>
      <c r="C257" s="530"/>
      <c r="V257" s="803"/>
      <c r="W257" s="537"/>
      <c r="BT257" s="537"/>
    </row>
    <row r="258" spans="1:72" s="269" customFormat="1" ht="21.75" customHeight="1">
      <c r="A258" s="530"/>
      <c r="B258" s="530"/>
      <c r="C258" s="530"/>
      <c r="V258" s="803"/>
      <c r="W258" s="537"/>
      <c r="BT258" s="537"/>
    </row>
    <row r="259" spans="1:72" s="269" customFormat="1" ht="21.75" customHeight="1">
      <c r="A259" s="530"/>
      <c r="B259" s="530"/>
      <c r="C259" s="530"/>
      <c r="V259" s="803"/>
      <c r="W259" s="537"/>
      <c r="BT259" s="537"/>
    </row>
    <row r="260" spans="1:72" s="269" customFormat="1" ht="21.75" customHeight="1">
      <c r="A260" s="530"/>
      <c r="B260" s="530"/>
      <c r="C260" s="530"/>
      <c r="V260" s="803"/>
      <c r="W260" s="537"/>
      <c r="BT260" s="537"/>
    </row>
    <row r="261" spans="1:72" s="269" customFormat="1" ht="21.75" customHeight="1">
      <c r="A261" s="530"/>
      <c r="B261" s="530"/>
      <c r="C261" s="530"/>
      <c r="V261" s="803"/>
      <c r="W261" s="537"/>
      <c r="BT261" s="537"/>
    </row>
    <row r="262" spans="1:72" s="269" customFormat="1" ht="21.75" customHeight="1">
      <c r="A262" s="530"/>
      <c r="B262" s="530"/>
      <c r="C262" s="530"/>
      <c r="V262" s="803"/>
      <c r="W262" s="537"/>
      <c r="BT262" s="537"/>
    </row>
    <row r="263" spans="1:72" s="269" customFormat="1" ht="21.75" customHeight="1">
      <c r="A263" s="530"/>
      <c r="B263" s="530"/>
      <c r="C263" s="530"/>
      <c r="V263" s="803"/>
      <c r="W263" s="537"/>
      <c r="BT263" s="537"/>
    </row>
    <row r="264" spans="1:72" s="269" customFormat="1" ht="21.75" customHeight="1">
      <c r="A264" s="530"/>
      <c r="B264" s="530"/>
      <c r="C264" s="530"/>
      <c r="V264" s="803"/>
      <c r="W264" s="537"/>
      <c r="BT264" s="537"/>
    </row>
    <row r="265" spans="1:72" s="269" customFormat="1" ht="21.75" customHeight="1">
      <c r="A265" s="530"/>
      <c r="B265" s="530"/>
      <c r="C265" s="530"/>
      <c r="V265" s="803"/>
      <c r="W265" s="537"/>
      <c r="BT265" s="537"/>
    </row>
    <row r="266" spans="1:72" s="269" customFormat="1" ht="21.75" customHeight="1">
      <c r="A266" s="530"/>
      <c r="B266" s="530"/>
      <c r="C266" s="530"/>
      <c r="V266" s="803"/>
      <c r="W266" s="537"/>
      <c r="BT266" s="537"/>
    </row>
    <row r="267" spans="1:72" s="269" customFormat="1" ht="18.75">
      <c r="A267" s="530"/>
      <c r="B267" s="530"/>
      <c r="C267" s="530"/>
      <c r="U267" s="531"/>
      <c r="V267" s="803"/>
      <c r="W267" s="537"/>
      <c r="BT267" s="537"/>
    </row>
    <row r="268" spans="1:72" s="269" customFormat="1" ht="18.75">
      <c r="A268" s="530"/>
      <c r="B268" s="530"/>
      <c r="C268" s="530"/>
      <c r="U268" s="531"/>
      <c r="V268" s="803"/>
      <c r="W268" s="537"/>
      <c r="BT268" s="537"/>
    </row>
    <row r="269" spans="1:72" s="269" customFormat="1" ht="18.75">
      <c r="A269" s="530"/>
      <c r="B269" s="530"/>
      <c r="C269" s="530"/>
      <c r="U269" s="531"/>
      <c r="V269" s="803"/>
      <c r="W269" s="537"/>
      <c r="BT269" s="537"/>
    </row>
    <row r="270" spans="1:72" s="269" customFormat="1" ht="18.75">
      <c r="A270" s="530"/>
      <c r="B270" s="530"/>
      <c r="C270" s="530"/>
      <c r="U270" s="531"/>
      <c r="V270" s="803"/>
      <c r="W270" s="537"/>
      <c r="BT270" s="537"/>
    </row>
    <row r="271" spans="1:72" s="269" customFormat="1" ht="18.75">
      <c r="A271" s="530"/>
      <c r="B271" s="530"/>
      <c r="C271" s="530"/>
      <c r="U271" s="531"/>
      <c r="V271" s="803"/>
      <c r="W271" s="537"/>
      <c r="BT271" s="537"/>
    </row>
    <row r="272" spans="1:72" s="269" customFormat="1" ht="18.75">
      <c r="A272" s="530"/>
      <c r="B272" s="530"/>
      <c r="C272" s="530"/>
      <c r="V272" s="803"/>
      <c r="W272" s="537"/>
      <c r="BT272" s="537"/>
    </row>
    <row r="273" spans="1:72" s="269" customFormat="1" ht="18.75">
      <c r="A273" s="530"/>
      <c r="B273" s="530"/>
      <c r="C273" s="530"/>
      <c r="U273" s="531"/>
      <c r="V273" s="803"/>
      <c r="W273" s="537"/>
      <c r="BT273" s="537"/>
    </row>
    <row r="274" spans="1:72" s="269" customFormat="1" ht="18.75">
      <c r="A274" s="530"/>
      <c r="B274" s="530"/>
      <c r="C274" s="530"/>
      <c r="U274" s="807"/>
      <c r="V274" s="803"/>
      <c r="W274" s="537"/>
      <c r="BT274" s="537"/>
    </row>
    <row r="275" spans="1:72" s="269" customFormat="1" ht="18.75">
      <c r="A275" s="530"/>
      <c r="B275" s="530"/>
      <c r="C275" s="530"/>
      <c r="V275" s="803"/>
      <c r="W275" s="537"/>
      <c r="BT275" s="537"/>
    </row>
    <row r="276" spans="1:72" s="269" customFormat="1" ht="18.75">
      <c r="A276" s="530"/>
      <c r="B276" s="530"/>
      <c r="C276" s="530"/>
      <c r="V276" s="803"/>
      <c r="W276" s="537"/>
      <c r="BT276" s="537"/>
    </row>
    <row r="277" spans="1:72" s="269" customFormat="1" ht="18.75">
      <c r="A277" s="530"/>
      <c r="B277" s="530"/>
      <c r="C277" s="530"/>
      <c r="V277" s="803"/>
      <c r="W277" s="537"/>
      <c r="BT277" s="537"/>
    </row>
    <row r="278" spans="1:72" s="269" customFormat="1" ht="18.75">
      <c r="A278" s="530"/>
      <c r="B278" s="530"/>
      <c r="C278" s="530"/>
      <c r="V278" s="803"/>
      <c r="W278" s="537"/>
      <c r="BT278" s="537"/>
    </row>
    <row r="279" spans="1:72" s="269" customFormat="1" ht="18.75">
      <c r="A279" s="530"/>
      <c r="B279" s="530"/>
      <c r="C279" s="530"/>
      <c r="V279" s="803"/>
      <c r="W279" s="537"/>
      <c r="BT279" s="537"/>
    </row>
    <row r="280" spans="1:72" s="269" customFormat="1" ht="18.75">
      <c r="A280" s="530"/>
      <c r="B280" s="530"/>
      <c r="C280" s="530"/>
      <c r="V280" s="803"/>
      <c r="W280" s="537"/>
      <c r="BT280" s="537"/>
    </row>
    <row r="281" spans="1:72" s="269" customFormat="1" ht="18.75">
      <c r="A281" s="530"/>
      <c r="B281" s="530"/>
      <c r="C281" s="530"/>
      <c r="V281" s="803"/>
      <c r="W281" s="537"/>
      <c r="BT281" s="537"/>
    </row>
    <row r="282" spans="1:72" s="269" customFormat="1">
      <c r="A282" s="530"/>
      <c r="B282" s="530"/>
      <c r="C282" s="530"/>
      <c r="V282" s="803"/>
      <c r="W282" s="808"/>
      <c r="X282" s="530"/>
      <c r="AA282" s="270"/>
      <c r="AB282" s="527"/>
      <c r="AC282" s="480"/>
      <c r="AH282" s="527"/>
      <c r="AI282" s="270"/>
      <c r="AJ282" s="527"/>
      <c r="AK282" s="270"/>
      <c r="AL282" s="268"/>
      <c r="AM282" s="270"/>
      <c r="AN282" s="270"/>
      <c r="AO282" s="270"/>
      <c r="AP282" s="270"/>
      <c r="AQ282" s="270"/>
      <c r="AR282" s="270"/>
      <c r="AS282" s="270"/>
      <c r="AT282" s="270"/>
      <c r="AU282" s="270"/>
      <c r="AV282" s="270"/>
      <c r="AW282" s="270"/>
      <c r="AX282" s="270"/>
      <c r="AY282" s="270"/>
      <c r="AZ282" s="270"/>
      <c r="BA282" s="270"/>
      <c r="BB282" s="270"/>
      <c r="BC282" s="270"/>
      <c r="BD282" s="270"/>
      <c r="BE282" s="270"/>
      <c r="BF282" s="270"/>
      <c r="BG282" s="270"/>
      <c r="BH282" s="270"/>
      <c r="BT282" s="537"/>
    </row>
    <row r="283" spans="1:72" s="269" customFormat="1">
      <c r="A283" s="530"/>
      <c r="B283" s="530"/>
      <c r="C283" s="530"/>
      <c r="V283" s="803"/>
      <c r="W283" s="808"/>
      <c r="X283" s="530"/>
      <c r="AB283" s="534"/>
      <c r="AC283" s="537"/>
      <c r="AH283" s="527"/>
      <c r="AI283" s="270"/>
      <c r="AJ283" s="527"/>
      <c r="AK283" s="270"/>
      <c r="AL283" s="268"/>
      <c r="AM283" s="270"/>
      <c r="AN283" s="270"/>
      <c r="AO283" s="270"/>
      <c r="AP283" s="270"/>
      <c r="AQ283" s="270"/>
      <c r="AR283" s="270"/>
      <c r="AS283" s="270"/>
      <c r="AT283" s="270"/>
      <c r="AU283" s="270"/>
      <c r="AV283" s="270"/>
      <c r="AW283" s="270"/>
      <c r="AX283" s="270"/>
      <c r="AY283" s="270"/>
      <c r="AZ283" s="270"/>
      <c r="BA283" s="270"/>
      <c r="BB283" s="270"/>
      <c r="BC283" s="270"/>
      <c r="BD283" s="270"/>
      <c r="BE283" s="270"/>
      <c r="BF283" s="270"/>
      <c r="BG283" s="270"/>
      <c r="BH283" s="270"/>
      <c r="BT283" s="537"/>
    </row>
    <row r="284" spans="1:72" s="269" customFormat="1">
      <c r="A284" s="530"/>
      <c r="B284" s="530"/>
      <c r="C284" s="530"/>
      <c r="U284" s="807"/>
      <c r="V284" s="803"/>
      <c r="W284" s="808"/>
      <c r="X284" s="530"/>
      <c r="AB284" s="534"/>
      <c r="AC284" s="537"/>
      <c r="AH284" s="527"/>
      <c r="AI284" s="270"/>
      <c r="AJ284" s="527"/>
      <c r="AK284" s="270"/>
      <c r="AL284" s="268"/>
      <c r="AM284" s="270"/>
      <c r="AN284" s="270"/>
      <c r="AO284" s="270"/>
      <c r="AP284" s="270"/>
      <c r="AQ284" s="270"/>
      <c r="AR284" s="270"/>
      <c r="AS284" s="270"/>
      <c r="AT284" s="270"/>
      <c r="AU284" s="270"/>
      <c r="AV284" s="270"/>
      <c r="AW284" s="270"/>
      <c r="AX284" s="270"/>
      <c r="AY284" s="270"/>
      <c r="AZ284" s="270"/>
      <c r="BA284" s="270"/>
      <c r="BB284" s="270"/>
      <c r="BC284" s="270"/>
      <c r="BD284" s="270"/>
      <c r="BE284" s="270"/>
      <c r="BF284" s="270"/>
      <c r="BG284" s="270"/>
      <c r="BH284" s="270"/>
      <c r="BT284" s="537"/>
    </row>
    <row r="285" spans="1:72" s="269" customFormat="1">
      <c r="A285" s="530"/>
      <c r="B285" s="530"/>
      <c r="C285" s="530"/>
      <c r="V285" s="803"/>
      <c r="W285" s="808"/>
      <c r="X285" s="530"/>
      <c r="AB285" s="534"/>
      <c r="AC285" s="537"/>
      <c r="AH285" s="527"/>
      <c r="AI285" s="270"/>
      <c r="AJ285" s="527"/>
      <c r="AK285" s="270"/>
      <c r="AL285" s="268"/>
      <c r="AM285" s="270"/>
      <c r="AN285" s="270"/>
      <c r="AO285" s="270"/>
      <c r="AP285" s="270"/>
      <c r="AQ285" s="270"/>
      <c r="AR285" s="270"/>
      <c r="AS285" s="270"/>
      <c r="AT285" s="270"/>
      <c r="AU285" s="270"/>
      <c r="AV285" s="270"/>
      <c r="AW285" s="270"/>
      <c r="AX285" s="270"/>
      <c r="AY285" s="270"/>
      <c r="AZ285" s="270"/>
      <c r="BA285" s="270"/>
      <c r="BB285" s="270"/>
      <c r="BC285" s="270"/>
      <c r="BD285" s="270"/>
      <c r="BE285" s="270"/>
      <c r="BF285" s="270"/>
      <c r="BG285" s="270"/>
      <c r="BH285" s="270"/>
      <c r="BT285" s="537"/>
    </row>
  </sheetData>
  <protectedRanges>
    <protectedRange sqref="AC40:AC42" name="Range5_1_1"/>
    <protectedRange sqref="T46:T50 B41:B45 B49:B53" name="Range5_1_2"/>
    <protectedRange sqref="AZ15:BA15 AY17:BA17 AZ24:BA24 AY26:BA26" name="Range10_2_2"/>
    <protectedRange sqref="AY15 AY24" name="Range10_2_1_1_2"/>
    <protectedRange sqref="BE17" name="Range10_2_3"/>
  </protectedRanges>
  <mergeCells count="103">
    <mergeCell ref="M2:M3"/>
    <mergeCell ref="BG40:BM40"/>
    <mergeCell ref="A2:D3"/>
    <mergeCell ref="O16:P16"/>
    <mergeCell ref="O17:P17"/>
    <mergeCell ref="C39:G39"/>
    <mergeCell ref="H39:O39"/>
    <mergeCell ref="A47:B48"/>
    <mergeCell ref="L56:O56"/>
    <mergeCell ref="B56:E56"/>
    <mergeCell ref="F56:H56"/>
    <mergeCell ref="P56:S56"/>
    <mergeCell ref="H2:H3"/>
    <mergeCell ref="I2:I3"/>
    <mergeCell ref="J2:J3"/>
    <mergeCell ref="L2:L3"/>
    <mergeCell ref="K2:K3"/>
    <mergeCell ref="N2:N3"/>
    <mergeCell ref="R18:S18"/>
    <mergeCell ref="I56:I57"/>
    <mergeCell ref="AU5:AV5"/>
    <mergeCell ref="BE27:BG27"/>
    <mergeCell ref="BG2:BI2"/>
    <mergeCell ref="BF28:BG28"/>
    <mergeCell ref="S1:T1"/>
    <mergeCell ref="P10:Q10"/>
    <mergeCell ref="AB4:AC4"/>
    <mergeCell ref="AA21:AH21"/>
    <mergeCell ref="W1:X1"/>
    <mergeCell ref="AA1:AC1"/>
    <mergeCell ref="AE1:AH1"/>
    <mergeCell ref="AE12:AH12"/>
    <mergeCell ref="AA6:AB6"/>
    <mergeCell ref="O1:Q1"/>
    <mergeCell ref="R16:S16"/>
    <mergeCell ref="T16:U16"/>
    <mergeCell ref="R17:S17"/>
    <mergeCell ref="T17:U17"/>
    <mergeCell ref="V16:W16"/>
    <mergeCell ref="AB16:AC16"/>
    <mergeCell ref="AB17:AC17"/>
    <mergeCell ref="P9:Q9"/>
    <mergeCell ref="O18:P18"/>
    <mergeCell ref="T21:U21"/>
    <mergeCell ref="D75:I75"/>
    <mergeCell ref="J75:O75"/>
    <mergeCell ref="J74:O74"/>
    <mergeCell ref="P75:V75"/>
    <mergeCell ref="W75:Z75"/>
    <mergeCell ref="P74:Z74"/>
    <mergeCell ref="C47:C48"/>
    <mergeCell ref="D47:D48"/>
    <mergeCell ref="O21:O22"/>
    <mergeCell ref="Q21:Q22"/>
    <mergeCell ref="H21:H22"/>
    <mergeCell ref="I21:I22"/>
    <mergeCell ref="K21:K22"/>
    <mergeCell ref="G21:G22"/>
    <mergeCell ref="J21:J22"/>
    <mergeCell ref="A21:D22"/>
    <mergeCell ref="P21:P22"/>
    <mergeCell ref="B74:C75"/>
    <mergeCell ref="F21:F22"/>
    <mergeCell ref="P49:R49"/>
    <mergeCell ref="R21:R22"/>
    <mergeCell ref="L21:L22"/>
    <mergeCell ref="M21:M22"/>
    <mergeCell ref="N21:N22"/>
    <mergeCell ref="D74:I74"/>
    <mergeCell ref="AY32:AZ32"/>
    <mergeCell ref="BB32:BC32"/>
    <mergeCell ref="AY19:BB19"/>
    <mergeCell ref="AY21:BB21"/>
    <mergeCell ref="X16:Y16"/>
    <mergeCell ref="V17:W17"/>
    <mergeCell ref="X17:Y17"/>
    <mergeCell ref="Z16:AA16"/>
    <mergeCell ref="Z17:AA17"/>
    <mergeCell ref="X21:Y21"/>
    <mergeCell ref="V18:W18"/>
    <mergeCell ref="X18:Y18"/>
    <mergeCell ref="AZ40:BC40"/>
    <mergeCell ref="AZ46:BC46"/>
    <mergeCell ref="AA44:AB44"/>
    <mergeCell ref="T18:U18"/>
    <mergeCell ref="Z18:AA18"/>
    <mergeCell ref="AQ26:AU26"/>
    <mergeCell ref="BF30:BG30"/>
    <mergeCell ref="BF31:BG31"/>
    <mergeCell ref="AZ3:BB3"/>
    <mergeCell ref="AZ4:BB4"/>
    <mergeCell ref="AZ5:BB5"/>
    <mergeCell ref="AZ6:BB6"/>
    <mergeCell ref="AZ7:BB7"/>
    <mergeCell ref="BA8:BB8"/>
    <mergeCell ref="AY2:BB2"/>
    <mergeCell ref="BD2:BE2"/>
    <mergeCell ref="AY10:BB10"/>
    <mergeCell ref="BE10:BE11"/>
    <mergeCell ref="AY12:BB12"/>
    <mergeCell ref="AY31:AZ31"/>
    <mergeCell ref="BB31:BC31"/>
    <mergeCell ref="BF29:BG29"/>
  </mergeCells>
  <phoneticPr fontId="30" type="noConversion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indexed="44"/>
    <pageSetUpPr fitToPage="1"/>
  </sheetPr>
  <dimension ref="A1:N452"/>
  <sheetViews>
    <sheetView view="pageBreakPreview" topLeftCell="D210" zoomScaleNormal="70" workbookViewId="0">
      <selection activeCell="L224" sqref="L224"/>
    </sheetView>
  </sheetViews>
  <sheetFormatPr defaultColWidth="9.140625" defaultRowHeight="24"/>
  <cols>
    <col min="1" max="1" width="6.140625" style="2" customWidth="1"/>
    <col min="2" max="2" width="9.28515625" style="1" customWidth="1"/>
    <col min="3" max="3" width="93.42578125" style="1" bestFit="1" customWidth="1"/>
    <col min="4" max="4" width="30.28515625" style="36" bestFit="1" customWidth="1"/>
    <col min="5" max="5" width="26.5703125" style="2" bestFit="1" customWidth="1"/>
    <col min="6" max="6" width="27.28515625" style="2" bestFit="1" customWidth="1"/>
    <col min="7" max="10" width="11.5703125" style="2" customWidth="1"/>
    <col min="11" max="11" width="11.5703125" style="37" customWidth="1"/>
    <col min="12" max="12" width="13.28515625" style="37" bestFit="1" customWidth="1"/>
    <col min="13" max="14" width="11.5703125" style="37" customWidth="1"/>
    <col min="15" max="16384" width="9.140625" style="1"/>
  </cols>
  <sheetData>
    <row r="1" spans="1:14" ht="21" customHeight="1">
      <c r="A1" s="2961" t="s">
        <v>722</v>
      </c>
      <c r="B1" s="2961"/>
      <c r="C1" s="2961"/>
      <c r="D1" s="2961"/>
      <c r="E1" s="2961"/>
      <c r="F1" s="2961"/>
      <c r="G1" s="2961"/>
      <c r="H1" s="2961"/>
      <c r="I1" s="2961"/>
      <c r="J1" s="2961"/>
      <c r="K1" s="2961"/>
      <c r="L1" s="2961"/>
      <c r="M1" s="2961"/>
      <c r="N1" s="2961"/>
    </row>
    <row r="2" spans="1:14">
      <c r="A2" s="2962" t="s">
        <v>723</v>
      </c>
      <c r="B2" s="2962"/>
      <c r="C2" s="2962"/>
      <c r="D2" s="2962"/>
      <c r="E2" s="2962"/>
      <c r="G2" s="3"/>
      <c r="H2" s="3"/>
      <c r="I2" s="3"/>
      <c r="J2" s="3"/>
      <c r="K2" s="4"/>
      <c r="L2" s="4"/>
      <c r="M2" s="4"/>
      <c r="N2" s="4"/>
    </row>
    <row r="4" spans="1:14" s="5" customFormat="1" ht="21" customHeight="1">
      <c r="A4" s="2963" t="s">
        <v>724</v>
      </c>
      <c r="B4" s="2963" t="s">
        <v>361</v>
      </c>
      <c r="C4" s="2963" t="s">
        <v>362</v>
      </c>
      <c r="D4" s="2964" t="s">
        <v>725</v>
      </c>
      <c r="E4" s="2963" t="s">
        <v>726</v>
      </c>
      <c r="F4" s="2963" t="s">
        <v>574</v>
      </c>
      <c r="G4" s="2963" t="s">
        <v>727</v>
      </c>
      <c r="H4" s="2963" t="s">
        <v>728</v>
      </c>
      <c r="I4" s="2963"/>
      <c r="J4" s="2963"/>
      <c r="K4" s="2968" t="s">
        <v>729</v>
      </c>
      <c r="L4" s="2969"/>
      <c r="M4" s="2969"/>
      <c r="N4" s="2970"/>
    </row>
    <row r="5" spans="1:14" s="5" customFormat="1">
      <c r="A5" s="2963"/>
      <c r="B5" s="2963"/>
      <c r="C5" s="2963"/>
      <c r="D5" s="2964"/>
      <c r="E5" s="2963"/>
      <c r="F5" s="2963"/>
      <c r="G5" s="2963"/>
      <c r="H5" s="2971" t="s">
        <v>7</v>
      </c>
      <c r="I5" s="2971" t="s">
        <v>730</v>
      </c>
      <c r="J5" s="2971" t="s">
        <v>282</v>
      </c>
      <c r="K5" s="2968" t="s">
        <v>731</v>
      </c>
      <c r="L5" s="2970"/>
      <c r="M5" s="2968" t="s">
        <v>732</v>
      </c>
      <c r="N5" s="2970"/>
    </row>
    <row r="6" spans="1:14" s="5" customFormat="1">
      <c r="A6" s="2963"/>
      <c r="B6" s="2963"/>
      <c r="C6" s="2963"/>
      <c r="D6" s="2964"/>
      <c r="E6" s="2963"/>
      <c r="F6" s="2963"/>
      <c r="G6" s="2963"/>
      <c r="H6" s="2972"/>
      <c r="I6" s="2972"/>
      <c r="J6" s="2972"/>
      <c r="K6" s="6" t="s">
        <v>733</v>
      </c>
      <c r="L6" s="6" t="s">
        <v>734</v>
      </c>
      <c r="M6" s="6" t="s">
        <v>733</v>
      </c>
      <c r="N6" s="6" t="s">
        <v>734</v>
      </c>
    </row>
    <row r="7" spans="1:14" s="24" customFormat="1">
      <c r="A7" s="87">
        <v>1</v>
      </c>
      <c r="B7" s="87" t="str">
        <f>+IF('NO DELETE'!$P$7=1,โครงข่าย!B73,IF('NO DELETE'!$P$7=2,โครงข่าย!B139,IF('NO DELETE'!$P$7=3,โครงข่าย!B205,IF('NO DELETE'!$P$7=4,โครงข่าย!B271,โครงข่าย!B337))))</f>
        <v>ปน.2001</v>
      </c>
      <c r="C7" s="89" t="str">
        <f>+IF('NO DELETE'!$P$7=1,โครงข่าย!C73,IF('NO DELETE'!$P$7=2,โครงข่าย!C139,IF('NO DELETE'!$P$7=3,โครงข่าย!C205,IF('NO DELETE'!$P$7=4,โครงข่าย!C271,โครงข่าย!C337))))</f>
        <v xml:space="preserve">แยกทางหลวงหมายเลข 42 - บ้านข่าลิง </v>
      </c>
      <c r="D7" s="89" t="str">
        <f>+IF('NO DELETE'!$P$7=1,โครงข่าย!D73,IF('NO DELETE'!$P$7=2,โครงข่าย!D139,IF('NO DELETE'!$P$7=3,โครงข่าย!D205,IF('NO DELETE'!$P$7=4,โครงข่าย!D271,โครงข่าย!D337))))</f>
        <v>-</v>
      </c>
      <c r="E7" s="87" t="str">
        <f>+IF('NO DELETE'!$P$7=1,โครงข่าย!E73,IF('NO DELETE'!$P$7=2,โครงข่าย!E139,IF('NO DELETE'!$P$7=3,โครงข่าย!E205,IF('NO DELETE'!$P$7=4,โครงข่าย!E271,โครงข่าย!E337))))</f>
        <v>สายบุรี, ทุ่งยางแดง</v>
      </c>
      <c r="F7" s="87" t="str">
        <f>+IF('NO DELETE'!$P$7=1,โครงข่าย!F73,IF('NO DELETE'!$P$7=2,โครงข่าย!F139,IF('NO DELETE'!$P$7=3,โครงข่าย!F205,IF('NO DELETE'!$P$7=4,โครงข่าย!F271,โครงข่าย!F337))))</f>
        <v>ปัตตานี</v>
      </c>
      <c r="G7" s="89">
        <f>+IF('NO DELETE'!$P$7=1,โครงข่าย!G73,IF('NO DELETE'!$P$7=2,โครงข่าย!G139,IF('NO DELETE'!$P$7=3,โครงข่าย!G205,IF('NO DELETE'!$P$7=4,โครงข่าย!G271,โครงข่าย!G337))))</f>
        <v>16.266999999999999</v>
      </c>
      <c r="H7" s="89">
        <f>+IF('NO DELETE'!$P$7=1,โครงข่าย!H73,IF('NO DELETE'!$P$7=2,โครงข่าย!H139,IF('NO DELETE'!$P$7=3,โครงข่าย!H205,IF('NO DELETE'!$P$7=4,โครงข่าย!H271,โครงข่าย!H337))))</f>
        <v>0</v>
      </c>
      <c r="I7" s="89">
        <f>+IF('NO DELETE'!$P$7=1,โครงข่าย!I73,IF('NO DELETE'!$P$7=2,โครงข่าย!I139,IF('NO DELETE'!$P$7=3,โครงข่าย!I205,IF('NO DELETE'!$P$7=4,โครงข่าย!I271,โครงข่าย!I337))))</f>
        <v>16.266999999999999</v>
      </c>
      <c r="J7" s="89">
        <f>+IF('NO DELETE'!$P$7=1,โครงข่าย!J73,IF('NO DELETE'!$P$7=2,โครงข่าย!J139,IF('NO DELETE'!$P$7=3,โครงข่าย!J205,IF('NO DELETE'!$P$7=4,โครงข่าย!J271,โครงข่าย!J337))))</f>
        <v>0</v>
      </c>
      <c r="K7" s="89">
        <f>+IF('NO DELETE'!$P$7=1,โครงข่าย!K73,IF('NO DELETE'!$P$7=2,โครงข่าย!K139,IF('NO DELETE'!$P$7=3,โครงข่าย!K205,IF('NO DELETE'!$P$7=4,โครงข่าย!K271,โครงข่าย!K337))))</f>
        <v>6.7259599999999997</v>
      </c>
      <c r="L7" s="89">
        <f>+IF('NO DELETE'!$P$7=1,โครงข่าย!L73,IF('NO DELETE'!$P$7=2,โครงข่าย!L139,IF('NO DELETE'!$P$7=3,โครงข่าย!L205,IF('NO DELETE'!$P$7=4,โครงข่าย!L271,โครงข่าย!L337))))</f>
        <v>101.50494</v>
      </c>
      <c r="M7" s="89">
        <f>+IF('NO DELETE'!$P$7=1,โครงข่าย!M73,IF('NO DELETE'!$P$7=2,โครงข่าย!M139,IF('NO DELETE'!$P$7=3,โครงข่าย!M205,IF('NO DELETE'!$P$7=4,โครงข่าย!M271,โครงข่าย!M337))))</f>
        <v>6.6373600000000001</v>
      </c>
      <c r="N7" s="89">
        <f>+IF('NO DELETE'!$P$7=1,โครงข่าย!N73,IF('NO DELETE'!$P$7=2,โครงข่าย!N139,IF('NO DELETE'!$P$7=3,โครงข่าย!N205,IF('NO DELETE'!$P$7=4,โครงข่าย!N271,โครงข่าย!N337))))</f>
        <v>101.44019</v>
      </c>
    </row>
    <row r="8" spans="1:14" s="24" customFormat="1">
      <c r="A8" s="68">
        <f t="shared" ref="A8:A39" si="0">+A7+1</f>
        <v>2</v>
      </c>
      <c r="B8" s="88" t="str">
        <f>+IF('NO DELETE'!$P$7=1,โครงข่าย!B74,IF('NO DELETE'!$P$7=2,โครงข่าย!B140,IF('NO DELETE'!$P$7=3,โครงข่าย!B206,IF('NO DELETE'!$P$7=4,โครงข่าย!B272,โครงข่าย!B338))))</f>
        <v>ปน.3002</v>
      </c>
      <c r="C8" s="90" t="str">
        <f>+IF('NO DELETE'!$P$7=1,โครงข่าย!C74,IF('NO DELETE'!$P$7=2,โครงข่าย!C140,IF('NO DELETE'!$P$7=3,โครงข่าย!C206,IF('NO DELETE'!$P$7=4,โครงข่าย!C272,โครงข่าย!C338))))</f>
        <v>แยกทางหลวงหมายเลข 410 - บ้านลาเกาะ</v>
      </c>
      <c r="D8" s="90" t="str">
        <f>+IF('NO DELETE'!$P$7=1,โครงข่าย!D74,IF('NO DELETE'!$P$7=2,โครงข่าย!D140,IF('NO DELETE'!$P$7=3,โครงข่าย!D206,IF('NO DELETE'!$P$7=4,โครงข่าย!D272,โครงข่าย!D338))))</f>
        <v>-</v>
      </c>
      <c r="E8" s="88" t="str">
        <f>+IF('NO DELETE'!$P$7=1,โครงข่าย!E74,IF('NO DELETE'!$P$7=2,โครงข่าย!E140,IF('NO DELETE'!$P$7=3,โครงข่าย!E206,IF('NO DELETE'!$P$7=4,โครงข่าย!E272,โครงข่าย!E338))))</f>
        <v>ยะรัง, มายอ</v>
      </c>
      <c r="F8" s="88" t="str">
        <f>+IF('NO DELETE'!$P$7=1,โครงข่าย!F74,IF('NO DELETE'!$P$7=2,โครงข่าย!F140,IF('NO DELETE'!$P$7=3,โครงข่าย!F206,IF('NO DELETE'!$P$7=4,โครงข่าย!F272,โครงข่าย!F338))))</f>
        <v>ปัตตานี</v>
      </c>
      <c r="G8" s="90">
        <f>+IF('NO DELETE'!$P$7=1,โครงข่าย!G74,IF('NO DELETE'!$P$7=2,โครงข่าย!G140,IF('NO DELETE'!$P$7=3,โครงข่าย!G206,IF('NO DELETE'!$P$7=4,โครงข่าย!G272,โครงข่าย!G338))))</f>
        <v>12.734999999999999</v>
      </c>
      <c r="H8" s="90">
        <f>+IF('NO DELETE'!$P$7=1,โครงข่าย!H74,IF('NO DELETE'!$P$7=2,โครงข่าย!H140,IF('NO DELETE'!$P$7=3,โครงข่าย!H206,IF('NO DELETE'!$P$7=4,โครงข่าย!H272,โครงข่าย!H338))))</f>
        <v>0</v>
      </c>
      <c r="I8" s="90">
        <f>+IF('NO DELETE'!$P$7=1,โครงข่าย!I74,IF('NO DELETE'!$P$7=2,โครงข่าย!I140,IF('NO DELETE'!$P$7=3,โครงข่าย!I206,IF('NO DELETE'!$P$7=4,โครงข่าย!I272,โครงข่าย!I338))))</f>
        <v>12.734999999999999</v>
      </c>
      <c r="J8" s="90">
        <f>+IF('NO DELETE'!$P$7=1,โครงข่าย!J74,IF('NO DELETE'!$P$7=2,โครงข่าย!J140,IF('NO DELETE'!$P$7=3,โครงข่าย!J206,IF('NO DELETE'!$P$7=4,โครงข่าย!J272,โครงข่าย!J338))))</f>
        <v>0</v>
      </c>
      <c r="K8" s="90">
        <f>+IF('NO DELETE'!$P$7=1,โครงข่าย!K74,IF('NO DELETE'!$P$7=2,โครงข่าย!K140,IF('NO DELETE'!$P$7=3,โครงข่าย!K206,IF('NO DELETE'!$P$7=4,โครงข่าย!K272,โครงข่าย!K338))))</f>
        <v>6.6695099999999998</v>
      </c>
      <c r="L8" s="90">
        <f>+IF('NO DELETE'!$P$7=1,โครงข่าย!L74,IF('NO DELETE'!$P$7=2,โครงข่าย!L140,IF('NO DELETE'!$P$7=3,โครงข่าย!L206,IF('NO DELETE'!$P$7=4,โครงข่าย!L272,โครงข่าย!L338))))</f>
        <v>101.30434</v>
      </c>
      <c r="M8" s="90">
        <f>+IF('NO DELETE'!$P$7=1,โครงข่าย!M74,IF('NO DELETE'!$P$7=2,โครงข่าย!M140,IF('NO DELETE'!$P$7=3,โครงข่าย!M206,IF('NO DELETE'!$P$7=4,โครงข่าย!M272,โครงข่าย!M338))))</f>
        <v>6.72187</v>
      </c>
      <c r="N8" s="90">
        <f>+IF('NO DELETE'!$P$7=1,โครงข่าย!N74,IF('NO DELETE'!$P$7=2,โครงข่าย!N140,IF('NO DELETE'!$P$7=3,โครงข่าย!N206,IF('NO DELETE'!$P$7=4,โครงข่าย!N272,โครงข่าย!N338))))</f>
        <v>101.40008</v>
      </c>
    </row>
    <row r="9" spans="1:14" s="24" customFormat="1">
      <c r="A9" s="68">
        <f t="shared" si="0"/>
        <v>3</v>
      </c>
      <c r="B9" s="88" t="str">
        <f>+IF('NO DELETE'!$P$7=1,โครงข่าย!B75,IF('NO DELETE'!$P$7=2,โครงข่าย!B141,IF('NO DELETE'!$P$7=3,โครงข่าย!B207,IF('NO DELETE'!$P$7=4,โครงข่าย!B273,โครงข่าย!B339))))</f>
        <v>ปน.2003</v>
      </c>
      <c r="C9" s="90" t="str">
        <f>+IF('NO DELETE'!$P$7=1,โครงข่าย!C75,IF('NO DELETE'!$P$7=2,โครงข่าย!C141,IF('NO DELETE'!$P$7=3,โครงข่าย!C207,IF('NO DELETE'!$P$7=4,โครงข่าย!C273,โครงข่าย!C339))))</f>
        <v>แยกทางหลวงหมายเลข 4 - บ้านโคกโพธิ์</v>
      </c>
      <c r="D9" s="90" t="str">
        <f>+IF('NO DELETE'!$P$7=1,โครงข่าย!D75,IF('NO DELETE'!$P$7=2,โครงข่าย!D141,IF('NO DELETE'!$P$7=3,โครงข่าย!D207,IF('NO DELETE'!$P$7=4,โครงข่าย!D273,โครงข่าย!D339))))</f>
        <v>-</v>
      </c>
      <c r="E9" s="88" t="str">
        <f>+IF('NO DELETE'!$P$7=1,โครงข่าย!E75,IF('NO DELETE'!$P$7=2,โครงข่าย!E141,IF('NO DELETE'!$P$7=3,โครงข่าย!E207,IF('NO DELETE'!$P$7=4,โครงข่าย!E273,โครงข่าย!E339))))</f>
        <v>หนองจิก, โคกโพธิ์</v>
      </c>
      <c r="F9" s="88" t="str">
        <f>+IF('NO DELETE'!$P$7=1,โครงข่าย!F75,IF('NO DELETE'!$P$7=2,โครงข่าย!F141,IF('NO DELETE'!$P$7=3,โครงข่าย!F207,IF('NO DELETE'!$P$7=4,โครงข่าย!F273,โครงข่าย!F339))))</f>
        <v>ปัตตานี</v>
      </c>
      <c r="G9" s="90">
        <f>+IF('NO DELETE'!$P$7=1,โครงข่าย!G75,IF('NO DELETE'!$P$7=2,โครงข่าย!G141,IF('NO DELETE'!$P$7=3,โครงข่าย!G207,IF('NO DELETE'!$P$7=4,โครงข่าย!G273,โครงข่าย!G339))))</f>
        <v>9.2910000000000004</v>
      </c>
      <c r="H9" s="90">
        <f>+IF('NO DELETE'!$P$7=1,โครงข่าย!H75,IF('NO DELETE'!$P$7=2,โครงข่าย!H141,IF('NO DELETE'!$P$7=3,โครงข่าย!H207,IF('NO DELETE'!$P$7=4,โครงข่าย!H273,โครงข่าย!H339))))</f>
        <v>0</v>
      </c>
      <c r="I9" s="90">
        <f>+IF('NO DELETE'!$P$7=1,โครงข่าย!I75,IF('NO DELETE'!$P$7=2,โครงข่าย!I141,IF('NO DELETE'!$P$7=3,โครงข่าย!I207,IF('NO DELETE'!$P$7=4,โครงข่าย!I273,โครงข่าย!I339))))</f>
        <v>9.2910000000000004</v>
      </c>
      <c r="J9" s="90">
        <f>+IF('NO DELETE'!$P$7=1,โครงข่าย!J75,IF('NO DELETE'!$P$7=2,โครงข่าย!J141,IF('NO DELETE'!$P$7=3,โครงข่าย!J207,IF('NO DELETE'!$P$7=4,โครงข่าย!J273,โครงข่าย!J339))))</f>
        <v>0</v>
      </c>
      <c r="K9" s="90">
        <f>+IF('NO DELETE'!$P$7=1,โครงข่าย!K75,IF('NO DELETE'!$P$7=2,โครงข่าย!K141,IF('NO DELETE'!$P$7=3,โครงข่าย!K207,IF('NO DELETE'!$P$7=4,โครงข่าย!K273,โครงข่าย!K339))))</f>
        <v>6.8121749999999999</v>
      </c>
      <c r="L9" s="90">
        <f>+IF('NO DELETE'!$P$7=1,โครงข่าย!L75,IF('NO DELETE'!$P$7=2,โครงข่าย!L141,IF('NO DELETE'!$P$7=3,โครงข่าย!L207,IF('NO DELETE'!$P$7=4,โครงข่าย!L273,โครงข่าย!L339))))</f>
        <v>101.0989</v>
      </c>
      <c r="M9" s="90">
        <f>+IF('NO DELETE'!$P$7=1,โครงข่าย!M75,IF('NO DELETE'!$P$7=2,โครงข่าย!M141,IF('NO DELETE'!$P$7=3,โครงข่าย!M207,IF('NO DELETE'!$P$7=4,โครงข่าย!M273,โครงข่าย!M339))))</f>
        <v>6.7312019999999997</v>
      </c>
      <c r="N9" s="90">
        <f>+IF('NO DELETE'!$P$7=1,โครงข่าย!N75,IF('NO DELETE'!$P$7=2,โครงข่าย!N141,IF('NO DELETE'!$P$7=3,โครงข่าย!N207,IF('NO DELETE'!$P$7=4,โครงข่าย!N273,โครงข่าย!N339))))</f>
        <v>101.093361</v>
      </c>
    </row>
    <row r="10" spans="1:14" s="24" customFormat="1">
      <c r="A10" s="68">
        <f t="shared" si="0"/>
        <v>4</v>
      </c>
      <c r="B10" s="88" t="str">
        <f>+IF('NO DELETE'!$P$7=1,โครงข่าย!B76,IF('NO DELETE'!$P$7=2,โครงข่าย!B142,IF('NO DELETE'!$P$7=3,โครงข่าย!B208,IF('NO DELETE'!$P$7=4,โครงข่าย!B274,โครงข่าย!B340))))</f>
        <v>ปน.4004</v>
      </c>
      <c r="C10" s="90" t="str">
        <f>+IF('NO DELETE'!$P$7=1,โครงข่าย!C76,IF('NO DELETE'!$P$7=2,โครงข่าย!C142,IF('NO DELETE'!$P$7=3,โครงข่าย!C208,IF('NO DELETE'!$P$7=4,โครงข่าย!C274,โครงข่าย!C340))))</f>
        <v>แยกทางหลวงหมายเลข 4075 - บ้านคอกวัว</v>
      </c>
      <c r="D10" s="90" t="str">
        <f>+IF('NO DELETE'!$P$7=1,โครงข่าย!D76,IF('NO DELETE'!$P$7=2,โครงข่าย!D142,IF('NO DELETE'!$P$7=3,โครงข่าย!D208,IF('NO DELETE'!$P$7=4,โครงข่าย!D274,โครงข่าย!D340))))</f>
        <v>-</v>
      </c>
      <c r="E10" s="88" t="str">
        <f>+IF('NO DELETE'!$P$7=1,โครงข่าย!E76,IF('NO DELETE'!$P$7=2,โครงข่าย!E142,IF('NO DELETE'!$P$7=3,โครงข่าย!E208,IF('NO DELETE'!$P$7=4,โครงข่าย!E274,โครงข่าย!E340))))</f>
        <v>กะพ้อ</v>
      </c>
      <c r="F10" s="88" t="str">
        <f>+IF('NO DELETE'!$P$7=1,โครงข่าย!F76,IF('NO DELETE'!$P$7=2,โครงข่าย!F142,IF('NO DELETE'!$P$7=3,โครงข่าย!F208,IF('NO DELETE'!$P$7=4,โครงข่าย!F274,โครงข่าย!F340))))</f>
        <v>ปัตตานี</v>
      </c>
      <c r="G10" s="90">
        <f>+IF('NO DELETE'!$P$7=1,โครงข่าย!G76,IF('NO DELETE'!$P$7=2,โครงข่าย!G142,IF('NO DELETE'!$P$7=3,โครงข่าย!G208,IF('NO DELETE'!$P$7=4,โครงข่าย!G274,โครงข่าย!G340))))</f>
        <v>8.8710000000000004</v>
      </c>
      <c r="H10" s="90">
        <f>+IF('NO DELETE'!$P$7=1,โครงข่าย!H76,IF('NO DELETE'!$P$7=2,โครงข่าย!H142,IF('NO DELETE'!$P$7=3,โครงข่าย!H208,IF('NO DELETE'!$P$7=4,โครงข่าย!H274,โครงข่าย!H340))))</f>
        <v>0</v>
      </c>
      <c r="I10" s="90">
        <f>+IF('NO DELETE'!$P$7=1,โครงข่าย!I76,IF('NO DELETE'!$P$7=2,โครงข่าย!I142,IF('NO DELETE'!$P$7=3,โครงข่าย!I208,IF('NO DELETE'!$P$7=4,โครงข่าย!I274,โครงข่าย!I340))))</f>
        <v>8.8710000000000004</v>
      </c>
      <c r="J10" s="90">
        <f>+IF('NO DELETE'!$P$7=1,โครงข่าย!J76,IF('NO DELETE'!$P$7=2,โครงข่าย!J142,IF('NO DELETE'!$P$7=3,โครงข่าย!J208,IF('NO DELETE'!$P$7=4,โครงข่าย!J274,โครงข่าย!J340))))</f>
        <v>0</v>
      </c>
      <c r="K10" s="90">
        <f>+IF('NO DELETE'!$P$7=1,โครงข่าย!K76,IF('NO DELETE'!$P$7=2,โครงข่าย!K142,IF('NO DELETE'!$P$7=3,โครงข่าย!K208,IF('NO DELETE'!$P$7=4,โครงข่าย!K274,โครงข่าย!K340))))</f>
        <v>6.6563999999999997</v>
      </c>
      <c r="L10" s="90">
        <f>+IF('NO DELETE'!$P$7=1,โครงข่าย!L76,IF('NO DELETE'!$P$7=2,โครงข่าย!L142,IF('NO DELETE'!$P$7=3,โครงข่าย!L208,IF('NO DELETE'!$P$7=4,โครงข่าย!L274,โครงข่าย!L340))))</f>
        <v>101.50933999999999</v>
      </c>
      <c r="M10" s="90">
        <f>+IF('NO DELETE'!$P$7=1,โครงข่าย!M76,IF('NO DELETE'!$P$7=2,โครงข่าย!M142,IF('NO DELETE'!$P$7=3,โครงข่าย!M208,IF('NO DELETE'!$P$7=4,โครงข่าย!M274,โครงข่าย!M340))))</f>
        <v>6.5931899999999999</v>
      </c>
      <c r="N10" s="90">
        <f>+IF('NO DELETE'!$P$7=1,โครงข่าย!N76,IF('NO DELETE'!$P$7=2,โครงข่าย!N142,IF('NO DELETE'!$P$7=3,โครงข่าย!N208,IF('NO DELETE'!$P$7=4,โครงข่าย!N274,โครงข่าย!N340))))</f>
        <v>101.53055999999999</v>
      </c>
    </row>
    <row r="11" spans="1:14" s="24" customFormat="1">
      <c r="A11" s="68">
        <f t="shared" si="0"/>
        <v>5</v>
      </c>
      <c r="B11" s="88" t="str">
        <f>+IF('NO DELETE'!$P$7=1,โครงข่าย!B77,IF('NO DELETE'!$P$7=2,โครงข่าย!B143,IF('NO DELETE'!$P$7=3,โครงข่าย!B209,IF('NO DELETE'!$P$7=4,โครงข่าย!B275,โครงข่าย!B341))))</f>
        <v>ปน.2005</v>
      </c>
      <c r="C11" s="90" t="str">
        <f>+IF('NO DELETE'!$P$7=1,โครงข่าย!C77,IF('NO DELETE'!$P$7=2,โครงข่าย!C143,IF('NO DELETE'!$P$7=3,โครงข่าย!C209,IF('NO DELETE'!$P$7=4,โครงข่าย!C275,โครงข่าย!C341))))</f>
        <v>แยกทางหลวงหมายเลข 42 - บ้านท่าช้าง</v>
      </c>
      <c r="D11" s="90" t="str">
        <f>+IF('NO DELETE'!$P$7=1,โครงข่าย!D77,IF('NO DELETE'!$P$7=2,โครงข่าย!D143,IF('NO DELETE'!$P$7=3,โครงข่าย!D209,IF('NO DELETE'!$P$7=4,โครงข่าย!D275,โครงข่าย!D341))))</f>
        <v>-</v>
      </c>
      <c r="E11" s="88" t="str">
        <f>+IF('NO DELETE'!$P$7=1,โครงข่าย!E77,IF('NO DELETE'!$P$7=2,โครงข่าย!E143,IF('NO DELETE'!$P$7=3,โครงข่าย!E209,IF('NO DELETE'!$P$7=4,โครงข่าย!E275,โครงข่าย!E341))))</f>
        <v>สายบุรี,ไม้แก่น</v>
      </c>
      <c r="F11" s="88" t="str">
        <f>+IF('NO DELETE'!$P$7=1,โครงข่าย!F77,IF('NO DELETE'!$P$7=2,โครงข่าย!F143,IF('NO DELETE'!$P$7=3,โครงข่าย!F209,IF('NO DELETE'!$P$7=4,โครงข่าย!F275,โครงข่าย!F341))))</f>
        <v>ปัตตานี</v>
      </c>
      <c r="G11" s="90">
        <f>+IF('NO DELETE'!$P$7=1,โครงข่าย!G77,IF('NO DELETE'!$P$7=2,โครงข่าย!G143,IF('NO DELETE'!$P$7=3,โครงข่าย!G209,IF('NO DELETE'!$P$7=4,โครงข่าย!G275,โครงข่าย!G341))))</f>
        <v>7.4320000000000004</v>
      </c>
      <c r="H11" s="90">
        <f>+IF('NO DELETE'!$P$7=1,โครงข่าย!H77,IF('NO DELETE'!$P$7=2,โครงข่าย!H143,IF('NO DELETE'!$P$7=3,โครงข่าย!H209,IF('NO DELETE'!$P$7=4,โครงข่าย!H275,โครงข่าย!H341))))</f>
        <v>0</v>
      </c>
      <c r="I11" s="90">
        <f>+IF('NO DELETE'!$P$7=1,โครงข่าย!I77,IF('NO DELETE'!$P$7=2,โครงข่าย!I143,IF('NO DELETE'!$P$7=3,โครงข่าย!I209,IF('NO DELETE'!$P$7=4,โครงข่าย!I275,โครงข่าย!I341))))</f>
        <v>7.4320000000000004</v>
      </c>
      <c r="J11" s="90">
        <f>+IF('NO DELETE'!$P$7=1,โครงข่าย!J77,IF('NO DELETE'!$P$7=2,โครงข่าย!J143,IF('NO DELETE'!$P$7=3,โครงข่าย!J209,IF('NO DELETE'!$P$7=4,โครงข่าย!J275,โครงข่าย!J341))))</f>
        <v>0</v>
      </c>
      <c r="K11" s="90">
        <f>+IF('NO DELETE'!$P$7=1,โครงข่าย!K77,IF('NO DELETE'!$P$7=2,โครงข่าย!K143,IF('NO DELETE'!$P$7=3,โครงข่าย!K209,IF('NO DELETE'!$P$7=4,โครงข่าย!K275,โครงข่าย!K341))))</f>
        <v>6.6602199999999998</v>
      </c>
      <c r="L11" s="90">
        <f>+IF('NO DELETE'!$P$7=1,โครงข่าย!L77,IF('NO DELETE'!$P$7=2,โครงข่าย!L143,IF('NO DELETE'!$P$7=3,โครงข่าย!L209,IF('NO DELETE'!$P$7=4,โครงข่าย!L275,โครงข่าย!L341))))</f>
        <v>101.62544</v>
      </c>
      <c r="M11" s="90">
        <f>+IF('NO DELETE'!$P$7=1,โครงข่าย!M77,IF('NO DELETE'!$P$7=2,โครงข่าย!M143,IF('NO DELETE'!$P$7=3,โครงข่าย!M209,IF('NO DELETE'!$P$7=4,โครงข่าย!M275,โครงข่าย!M341))))</f>
        <v>6.6227200000000002</v>
      </c>
      <c r="N11" s="90">
        <f>+IF('NO DELETE'!$P$7=1,โครงข่าย!N77,IF('NO DELETE'!$P$7=2,โครงข่าย!N143,IF('NO DELETE'!$P$7=3,โครงข่าย!N209,IF('NO DELETE'!$P$7=4,โครงข่าย!N275,โครงข่าย!N341))))</f>
        <v>101.37264</v>
      </c>
    </row>
    <row r="12" spans="1:14" s="24" customFormat="1">
      <c r="A12" s="68">
        <f t="shared" si="0"/>
        <v>6</v>
      </c>
      <c r="B12" s="88" t="str">
        <f>+IF('NO DELETE'!$P$7=1,โครงข่าย!B78,IF('NO DELETE'!$P$7=2,โครงข่าย!B144,IF('NO DELETE'!$P$7=3,โครงข่าย!B210,IF('NO DELETE'!$P$7=4,โครงข่าย!B276,โครงข่าย!B342))))</f>
        <v>ปน.2007</v>
      </c>
      <c r="C12" s="90" t="str">
        <f>+IF('NO DELETE'!$P$7=1,โครงข่าย!C78,IF('NO DELETE'!$P$7=2,โครงข่าย!C144,IF('NO DELETE'!$P$7=3,โครงข่าย!C210,IF('NO DELETE'!$P$7=4,โครงข่าย!C276,โครงข่าย!C342))))</f>
        <v>แยกทางหลวงหมายเลข 42 - บ้านยะรัง</v>
      </c>
      <c r="D12" s="90" t="str">
        <f>+IF('NO DELETE'!$P$7=1,โครงข่าย!D78,IF('NO DELETE'!$P$7=2,โครงข่าย!D144,IF('NO DELETE'!$P$7=3,โครงข่าย!D210,IF('NO DELETE'!$P$7=4,โครงข่าย!D276,โครงข่าย!D342))))</f>
        <v>-</v>
      </c>
      <c r="E12" s="88" t="str">
        <f>+IF('NO DELETE'!$P$7=1,โครงข่าย!E78,IF('NO DELETE'!$P$7=2,โครงข่าย!E144,IF('NO DELETE'!$P$7=3,โครงข่าย!E210,IF('NO DELETE'!$P$7=4,โครงข่าย!E276,โครงข่าย!E342))))</f>
        <v>หนองจิก,ยะรัง</v>
      </c>
      <c r="F12" s="88" t="str">
        <f>+IF('NO DELETE'!$P$7=1,โครงข่าย!F78,IF('NO DELETE'!$P$7=2,โครงข่าย!F144,IF('NO DELETE'!$P$7=3,โครงข่าย!F210,IF('NO DELETE'!$P$7=4,โครงข่าย!F276,โครงข่าย!F342))))</f>
        <v>ปัตตานี</v>
      </c>
      <c r="G12" s="90">
        <f>+IF('NO DELETE'!$P$7=1,โครงข่าย!G78,IF('NO DELETE'!$P$7=2,โครงข่าย!G144,IF('NO DELETE'!$P$7=3,โครงข่าย!G210,IF('NO DELETE'!$P$7=4,โครงข่าย!G276,โครงข่าย!G342))))</f>
        <v>17.59</v>
      </c>
      <c r="H12" s="90">
        <f>+IF('NO DELETE'!$P$7=1,โครงข่าย!H78,IF('NO DELETE'!$P$7=2,โครงข่าย!H144,IF('NO DELETE'!$P$7=3,โครงข่าย!H210,IF('NO DELETE'!$P$7=4,โครงข่าย!H276,โครงข่าย!H342))))</f>
        <v>0</v>
      </c>
      <c r="I12" s="90">
        <f>+IF('NO DELETE'!$P$7=1,โครงข่าย!I78,IF('NO DELETE'!$P$7=2,โครงข่าย!I144,IF('NO DELETE'!$P$7=3,โครงข่าย!I210,IF('NO DELETE'!$P$7=4,โครงข่าย!I276,โครงข่าย!I342))))</f>
        <v>17.59</v>
      </c>
      <c r="J12" s="90">
        <f>+IF('NO DELETE'!$P$7=1,โครงข่าย!J78,IF('NO DELETE'!$P$7=2,โครงข่าย!J144,IF('NO DELETE'!$P$7=3,โครงข่าย!J210,IF('NO DELETE'!$P$7=4,โครงข่าย!J276,โครงข่าย!J342))))</f>
        <v>0</v>
      </c>
      <c r="K12" s="90">
        <f>+IF('NO DELETE'!$P$7=1,โครงข่าย!K78,IF('NO DELETE'!$P$7=2,โครงข่าย!K144,IF('NO DELETE'!$P$7=3,โครงข่าย!K210,IF('NO DELETE'!$P$7=4,โครงข่าย!K276,โครงข่าย!K342))))</f>
        <v>6.7926359999999999</v>
      </c>
      <c r="L12" s="90">
        <f>+IF('NO DELETE'!$P$7=1,โครงข่าย!L78,IF('NO DELETE'!$P$7=2,โครงข่าย!L144,IF('NO DELETE'!$P$7=3,โครงข่าย!L210,IF('NO DELETE'!$P$7=4,โครงข่าย!L276,โครงข่าย!L342))))</f>
        <v>101.147972</v>
      </c>
      <c r="M12" s="90">
        <f>+IF('NO DELETE'!$P$7=1,โครงข่าย!M78,IF('NO DELETE'!$P$7=2,โครงข่าย!M144,IF('NO DELETE'!$P$7=3,โครงข่าย!M210,IF('NO DELETE'!$P$7=4,โครงข่าย!M276,โครงข่าย!M342))))</f>
        <v>6.7632000000000003</v>
      </c>
      <c r="N12" s="90">
        <f>+IF('NO DELETE'!$P$7=1,โครงข่าย!N78,IF('NO DELETE'!$P$7=2,โครงข่าย!N144,IF('NO DELETE'!$P$7=3,โครงข่าย!N210,IF('NO DELETE'!$P$7=4,โครงข่าย!N276,โครงข่าย!N342))))</f>
        <v>101.29445</v>
      </c>
    </row>
    <row r="13" spans="1:14" s="24" customFormat="1">
      <c r="A13" s="68">
        <f t="shared" si="0"/>
        <v>7</v>
      </c>
      <c r="B13" s="88" t="str">
        <f>+IF('NO DELETE'!$P$7=1,โครงข่าย!B79,IF('NO DELETE'!$P$7=2,โครงข่าย!B145,IF('NO DELETE'!$P$7=3,โครงข่าย!B211,IF('NO DELETE'!$P$7=4,โครงข่าย!B277,โครงข่าย!B343))))</f>
        <v>ปน.4009</v>
      </c>
      <c r="C13" s="90" t="str">
        <f>+IF('NO DELETE'!$P$7=1,โครงข่าย!C79,IF('NO DELETE'!$P$7=2,โครงข่าย!C145,IF('NO DELETE'!$P$7=3,โครงข่าย!C211,IF('NO DELETE'!$P$7=4,โครงข่าย!C277,โครงข่าย!C343))))</f>
        <v>แยกทางหลวงหมายเลข 4071 - บ้านน้ำใส</v>
      </c>
      <c r="D13" s="90" t="str">
        <f>+IF('NO DELETE'!$P$7=1,โครงข่าย!D79,IF('NO DELETE'!$P$7=2,โครงข่าย!D145,IF('NO DELETE'!$P$7=3,โครงข่าย!D211,IF('NO DELETE'!$P$7=4,โครงข่าย!D277,โครงข่าย!D343))))</f>
        <v>-</v>
      </c>
      <c r="E13" s="88" t="str">
        <f>+IF('NO DELETE'!$P$7=1,โครงข่าย!E79,IF('NO DELETE'!$P$7=2,โครงข่าย!E145,IF('NO DELETE'!$P$7=3,โครงข่าย!E211,IF('NO DELETE'!$P$7=4,โครงข่าย!E277,โครงข่าย!E343))))</f>
        <v>ทุ่งยางแดง,มายอ</v>
      </c>
      <c r="F13" s="88" t="str">
        <f>+IF('NO DELETE'!$P$7=1,โครงข่าย!F79,IF('NO DELETE'!$P$7=2,โครงข่าย!F145,IF('NO DELETE'!$P$7=3,โครงข่าย!F211,IF('NO DELETE'!$P$7=4,โครงข่าย!F277,โครงข่าย!F343))))</f>
        <v>ปัตตานี</v>
      </c>
      <c r="G13" s="90">
        <f>+IF('NO DELETE'!$P$7=1,โครงข่าย!G79,IF('NO DELETE'!$P$7=2,โครงข่าย!G145,IF('NO DELETE'!$P$7=3,โครงข่าย!G211,IF('NO DELETE'!$P$7=4,โครงข่าย!G277,โครงข่าย!G343))))</f>
        <v>8.6</v>
      </c>
      <c r="H13" s="90">
        <f>+IF('NO DELETE'!$P$7=1,โครงข่าย!H79,IF('NO DELETE'!$P$7=2,โครงข่าย!H145,IF('NO DELETE'!$P$7=3,โครงข่าย!H211,IF('NO DELETE'!$P$7=4,โครงข่าย!H277,โครงข่าย!H343))))</f>
        <v>0</v>
      </c>
      <c r="I13" s="90">
        <f>+IF('NO DELETE'!$P$7=1,โครงข่าย!I79,IF('NO DELETE'!$P$7=2,โครงข่าย!I145,IF('NO DELETE'!$P$7=3,โครงข่าย!I211,IF('NO DELETE'!$P$7=4,โครงข่าย!I277,โครงข่าย!I343))))</f>
        <v>8.6</v>
      </c>
      <c r="J13" s="90">
        <f>+IF('NO DELETE'!$P$7=1,โครงข่าย!J79,IF('NO DELETE'!$P$7=2,โครงข่าย!J145,IF('NO DELETE'!$P$7=3,โครงข่าย!J211,IF('NO DELETE'!$P$7=4,โครงข่าย!J277,โครงข่าย!J343))))</f>
        <v>0</v>
      </c>
      <c r="K13" s="90">
        <f>+IF('NO DELETE'!$P$7=1,โครงข่าย!K79,IF('NO DELETE'!$P$7=2,โครงข่าย!K145,IF('NO DELETE'!$P$7=3,โครงข่าย!K211,IF('NO DELETE'!$P$7=4,โครงข่าย!K277,โครงข่าย!K343))))</f>
        <v>6.6163800000000004</v>
      </c>
      <c r="L13" s="90">
        <f>+IF('NO DELETE'!$P$7=1,โครงข่าย!L79,IF('NO DELETE'!$P$7=2,โครงข่าย!L145,IF('NO DELETE'!$P$7=3,โครงข่าย!L211,IF('NO DELETE'!$P$7=4,โครงข่าย!L277,โครงข่าย!L343))))</f>
        <v>101.4289</v>
      </c>
      <c r="M13" s="90">
        <f>+IF('NO DELETE'!$P$7=1,โครงข่าย!M79,IF('NO DELETE'!$P$7=2,โครงข่าย!M145,IF('NO DELETE'!$P$7=3,โครงข่าย!M211,IF('NO DELETE'!$P$7=4,โครงข่าย!M277,โครงข่าย!M343))))</f>
        <v>6.6393700000000004</v>
      </c>
      <c r="N13" s="90">
        <f>+IF('NO DELETE'!$P$7=1,โครงข่าย!N79,IF('NO DELETE'!$P$7=2,โครงข่าย!N145,IF('NO DELETE'!$P$7=3,โครงข่าย!N211,IF('NO DELETE'!$P$7=4,โครงข่าย!N277,โครงข่าย!N343))))</f>
        <v>101.37264</v>
      </c>
    </row>
    <row r="14" spans="1:14" s="24" customFormat="1">
      <c r="A14" s="68">
        <f t="shared" si="0"/>
        <v>8</v>
      </c>
      <c r="B14" s="88" t="str">
        <f>+IF('NO DELETE'!$P$7=1,โครงข่าย!B80,IF('NO DELETE'!$P$7=2,โครงข่าย!B146,IF('NO DELETE'!$P$7=3,โครงข่าย!B212,IF('NO DELETE'!$P$7=4,โครงข่าย!B278,โครงข่าย!B344))))</f>
        <v>ปน.2010</v>
      </c>
      <c r="C14" s="90" t="str">
        <f>+IF('NO DELETE'!$P$7=1,โครงข่าย!C80,IF('NO DELETE'!$P$7=2,โครงข่าย!C146,IF('NO DELETE'!$P$7=3,โครงข่าย!C212,IF('NO DELETE'!$P$7=4,โครงข่าย!C278,โครงข่าย!C344))))</f>
        <v>แยกทางหลวงหมายเลข 42 - บ้านบาซาเอ</v>
      </c>
      <c r="D14" s="90" t="str">
        <f>+IF('NO DELETE'!$P$7=1,โครงข่าย!D80,IF('NO DELETE'!$P$7=2,โครงข่าย!D146,IF('NO DELETE'!$P$7=3,โครงข่าย!D212,IF('NO DELETE'!$P$7=4,โครงข่าย!D278,โครงข่าย!D344))))</f>
        <v>-</v>
      </c>
      <c r="E14" s="88" t="str">
        <f>+IF('NO DELETE'!$P$7=1,โครงข่าย!E80,IF('NO DELETE'!$P$7=2,โครงข่าย!E146,IF('NO DELETE'!$P$7=3,โครงข่าย!E212,IF('NO DELETE'!$P$7=4,โครงข่าย!E278,โครงข่าย!E344))))</f>
        <v>โคกโพธิ์,หนองจิก,
ยะรัง</v>
      </c>
      <c r="F14" s="88" t="str">
        <f>+IF('NO DELETE'!$P$7=1,โครงข่าย!F80,IF('NO DELETE'!$P$7=2,โครงข่าย!F146,IF('NO DELETE'!$P$7=3,โครงข่าย!F212,IF('NO DELETE'!$P$7=4,โครงข่าย!F278,โครงข่าย!F344))))</f>
        <v>ปัตตานี</v>
      </c>
      <c r="G14" s="90">
        <f>+IF('NO DELETE'!$P$7=1,โครงข่าย!G80,IF('NO DELETE'!$P$7=2,โครงข่าย!G146,IF('NO DELETE'!$P$7=3,โครงข่าย!G212,IF('NO DELETE'!$P$7=4,โครงข่าย!G278,โครงข่าย!G344))))</f>
        <v>18.855</v>
      </c>
      <c r="H14" s="90">
        <f>+IF('NO DELETE'!$P$7=1,โครงข่าย!H80,IF('NO DELETE'!$P$7=2,โครงข่าย!H146,IF('NO DELETE'!$P$7=3,โครงข่าย!H212,IF('NO DELETE'!$P$7=4,โครงข่าย!H278,โครงข่าย!H344))))</f>
        <v>0</v>
      </c>
      <c r="I14" s="90">
        <f>+IF('NO DELETE'!$P$7=1,โครงข่าย!I80,IF('NO DELETE'!$P$7=2,โครงข่าย!I146,IF('NO DELETE'!$P$7=3,โครงข่าย!I212,IF('NO DELETE'!$P$7=4,โครงข่าย!I278,โครงข่าย!I344))))</f>
        <v>18.855</v>
      </c>
      <c r="J14" s="90">
        <f>+IF('NO DELETE'!$P$7=1,โครงข่าย!J80,IF('NO DELETE'!$P$7=2,โครงข่าย!J146,IF('NO DELETE'!$P$7=3,โครงข่าย!J212,IF('NO DELETE'!$P$7=4,โครงข่าย!J278,โครงข่าย!J344))))</f>
        <v>0</v>
      </c>
      <c r="K14" s="90">
        <f>+IF('NO DELETE'!$P$7=1,โครงข่าย!K80,IF('NO DELETE'!$P$7=2,โครงข่าย!K146,IF('NO DELETE'!$P$7=3,โครงข่าย!K212,IF('NO DELETE'!$P$7=4,โครงข่าย!K278,โครงข่าย!K344))))</f>
        <v>6.7420720000000003</v>
      </c>
      <c r="L14" s="90">
        <f>+IF('NO DELETE'!$P$7=1,โครงข่าย!L80,IF('NO DELETE'!$P$7=2,โครงข่าย!L146,IF('NO DELETE'!$P$7=3,โครงข่าย!L212,IF('NO DELETE'!$P$7=4,โครงข่าย!L278,โครงข่าย!L344))))</f>
        <v>101.135186</v>
      </c>
      <c r="M14" s="90">
        <f>+IF('NO DELETE'!$P$7=1,โครงข่าย!M80,IF('NO DELETE'!$P$7=2,โครงข่าย!M146,IF('NO DELETE'!$P$7=3,โครงข่าย!M212,IF('NO DELETE'!$P$7=4,โครงข่าย!M278,โครงข่าย!M344))))</f>
        <v>6.7366910000000004</v>
      </c>
      <c r="N14" s="90">
        <f>+IF('NO DELETE'!$P$7=1,โครงข่าย!N80,IF('NO DELETE'!$P$7=2,โครงข่าย!N146,IF('NO DELETE'!$P$7=3,โครงข่าย!N212,IF('NO DELETE'!$P$7=4,โครงข่าย!N278,โครงข่าย!N344))))</f>
        <v>101.28572699999999</v>
      </c>
    </row>
    <row r="15" spans="1:14" s="24" customFormat="1">
      <c r="A15" s="68">
        <f t="shared" si="0"/>
        <v>9</v>
      </c>
      <c r="B15" s="88" t="str">
        <f>+IF('NO DELETE'!$P$7=1,โครงข่าย!B81,IF('NO DELETE'!$P$7=2,โครงข่าย!B147,IF('NO DELETE'!$P$7=3,โครงข่าย!B213,IF('NO DELETE'!$P$7=4,โครงข่าย!B279,โครงข่าย!B345))))</f>
        <v>ปน.3011</v>
      </c>
      <c r="C15" s="90" t="str">
        <f>+IF('NO DELETE'!$P$7=1,โครงข่าย!C81,IF('NO DELETE'!$P$7=2,โครงข่าย!C147,IF('NO DELETE'!$P$7=3,โครงข่าย!C213,IF('NO DELETE'!$P$7=4,โครงข่าย!C279,โครงข่าย!C345))))</f>
        <v>แยกทางหลวงหมายเลข 409 - บ้านปรีกี</v>
      </c>
      <c r="D15" s="90" t="str">
        <f>+IF('NO DELETE'!$P$7=1,โครงข่าย!D81,IF('NO DELETE'!$P$7=2,โครงข่าย!D147,IF('NO DELETE'!$P$7=3,โครงข่าย!D213,IF('NO DELETE'!$P$7=4,โครงข่าย!D279,โครงข่าย!D345))))</f>
        <v>-</v>
      </c>
      <c r="E15" s="88" t="str">
        <f>+IF('NO DELETE'!$P$7=1,โครงข่าย!E81,IF('NO DELETE'!$P$7=2,โครงข่าย!E147,IF('NO DELETE'!$P$7=3,โครงข่าย!E213,IF('NO DELETE'!$P$7=4,โครงข่าย!E279,โครงข่าย!E345))))</f>
        <v>โคกโพธิ์,แม่ลาน</v>
      </c>
      <c r="F15" s="88" t="str">
        <f>+IF('NO DELETE'!$P$7=1,โครงข่าย!F81,IF('NO DELETE'!$P$7=2,โครงข่าย!F147,IF('NO DELETE'!$P$7=3,โครงข่าย!F213,IF('NO DELETE'!$P$7=4,โครงข่าย!F279,โครงข่าย!F345))))</f>
        <v>ปัตตานี</v>
      </c>
      <c r="G15" s="90">
        <f>+IF('NO DELETE'!$P$7=1,โครงข่าย!G81,IF('NO DELETE'!$P$7=2,โครงข่าย!G147,IF('NO DELETE'!$P$7=3,โครงข่าย!G213,IF('NO DELETE'!$P$7=4,โครงข่าย!G279,โครงข่าย!G345))))</f>
        <v>21.068999999999999</v>
      </c>
      <c r="H15" s="90">
        <f>+IF('NO DELETE'!$P$7=1,โครงข่าย!H81,IF('NO DELETE'!$P$7=2,โครงข่าย!H147,IF('NO DELETE'!$P$7=3,โครงข่าย!H213,IF('NO DELETE'!$P$7=4,โครงข่าย!H279,โครงข่าย!H345))))</f>
        <v>0</v>
      </c>
      <c r="I15" s="90">
        <f>+IF('NO DELETE'!$P$7=1,โครงข่าย!I81,IF('NO DELETE'!$P$7=2,โครงข่าย!I147,IF('NO DELETE'!$P$7=3,โครงข่าย!I213,IF('NO DELETE'!$P$7=4,โครงข่าย!I279,โครงข่าย!I345))))</f>
        <v>21.068999999999999</v>
      </c>
      <c r="J15" s="90">
        <f>+IF('NO DELETE'!$P$7=1,โครงข่าย!J81,IF('NO DELETE'!$P$7=2,โครงข่าย!J147,IF('NO DELETE'!$P$7=3,โครงข่าย!J213,IF('NO DELETE'!$P$7=4,โครงข่าย!J279,โครงข่าย!J345))))</f>
        <v>0</v>
      </c>
      <c r="K15" s="90">
        <f>+IF('NO DELETE'!$P$7=1,โครงข่าย!K81,IF('NO DELETE'!$P$7=2,โครงข่าย!K147,IF('NO DELETE'!$P$7=3,โครงข่าย!K213,IF('NO DELETE'!$P$7=4,โครงข่าย!K279,โครงข่าย!K345))))</f>
        <v>6.6792220000000002</v>
      </c>
      <c r="L15" s="90">
        <f>+IF('NO DELETE'!$P$7=1,โครงข่าย!L81,IF('NO DELETE'!$P$7=2,โครงข่าย!L147,IF('NO DELETE'!$P$7=3,โครงข่าย!L213,IF('NO DELETE'!$P$7=4,โครงข่าย!L279,โครงข่าย!L345))))</f>
        <v>101.14610500000001</v>
      </c>
      <c r="M15" s="90">
        <f>+IF('NO DELETE'!$P$7=1,โครงข่าย!M81,IF('NO DELETE'!$P$7=2,โครงข่าย!M147,IF('NO DELETE'!$P$7=3,โครงข่าย!M213,IF('NO DELETE'!$P$7=4,โครงข่าย!M279,โครงข่าย!M345))))</f>
        <v>6.7160190000000002</v>
      </c>
      <c r="N15" s="90">
        <f>+IF('NO DELETE'!$P$7=1,โครงข่าย!N81,IF('NO DELETE'!$P$7=2,โครงข่าย!N147,IF('NO DELETE'!$P$7=3,โครงข่าย!N213,IF('NO DELETE'!$P$7=4,โครงข่าย!N279,โครงข่าย!N345))))</f>
        <v>101.287508</v>
      </c>
    </row>
    <row r="16" spans="1:14" s="24" customFormat="1">
      <c r="A16" s="68">
        <f t="shared" si="0"/>
        <v>10</v>
      </c>
      <c r="B16" s="88" t="str">
        <f>+IF('NO DELETE'!$P$7=1,โครงข่าย!B82,IF('NO DELETE'!$P$7=2,โครงข่าย!B148,IF('NO DELETE'!$P$7=3,โครงข่าย!B214,IF('NO DELETE'!$P$7=4,โครงข่าย!B280,โครงข่าย!B346))))</f>
        <v>ปน.2013</v>
      </c>
      <c r="C16" s="90" t="str">
        <f>+IF('NO DELETE'!$P$7=1,โครงข่าย!C82,IF('NO DELETE'!$P$7=2,โครงข่าย!C148,IF('NO DELETE'!$P$7=3,โครงข่าย!C214,IF('NO DELETE'!$P$7=4,โครงข่าย!C280,โครงข่าย!C346))))</f>
        <v>แยกทางหลวงหมายเลข 42 -บ้านท่ายาลอ</v>
      </c>
      <c r="D16" s="90" t="str">
        <f>+IF('NO DELETE'!$P$7=1,โครงข่าย!D82,IF('NO DELETE'!$P$7=2,โครงข่าย!D148,IF('NO DELETE'!$P$7=3,โครงข่าย!D214,IF('NO DELETE'!$P$7=4,โครงข่าย!D280,โครงข่าย!D346))))</f>
        <v>-</v>
      </c>
      <c r="E16" s="88" t="str">
        <f>+IF('NO DELETE'!$P$7=1,โครงข่าย!E82,IF('NO DELETE'!$P$7=2,โครงข่าย!E148,IF('NO DELETE'!$P$7=3,โครงข่าย!E214,IF('NO DELETE'!$P$7=4,โครงข่าย!E280,โครงข่าย!E346))))</f>
        <v>เมือง,หนองจิก</v>
      </c>
      <c r="F16" s="88" t="str">
        <f>+IF('NO DELETE'!$P$7=1,โครงข่าย!F82,IF('NO DELETE'!$P$7=2,โครงข่าย!F148,IF('NO DELETE'!$P$7=3,โครงข่าย!F214,IF('NO DELETE'!$P$7=4,โครงข่าย!F280,โครงข่าย!F346))))</f>
        <v>ปัตตานี</v>
      </c>
      <c r="G16" s="90">
        <f>+IF('NO DELETE'!$P$7=1,โครงข่าย!G82,IF('NO DELETE'!$P$7=2,โครงข่าย!G148,IF('NO DELETE'!$P$7=3,โครงข่าย!G214,IF('NO DELETE'!$P$7=4,โครงข่าย!G280,โครงข่าย!G346))))</f>
        <v>9.9760000000000009</v>
      </c>
      <c r="H16" s="90">
        <f>+IF('NO DELETE'!$P$7=1,โครงข่าย!H82,IF('NO DELETE'!$P$7=2,โครงข่าย!H148,IF('NO DELETE'!$P$7=3,โครงข่าย!H214,IF('NO DELETE'!$P$7=4,โครงข่าย!H280,โครงข่าย!H346))))</f>
        <v>0</v>
      </c>
      <c r="I16" s="90">
        <f>+IF('NO DELETE'!$P$7=1,โครงข่าย!I82,IF('NO DELETE'!$P$7=2,โครงข่าย!I148,IF('NO DELETE'!$P$7=3,โครงข่าย!I214,IF('NO DELETE'!$P$7=4,โครงข่าย!I280,โครงข่าย!I346))))</f>
        <v>9.9760000000000009</v>
      </c>
      <c r="J16" s="90">
        <f>+IF('NO DELETE'!$P$7=1,โครงข่าย!J82,IF('NO DELETE'!$P$7=2,โครงข่าย!J148,IF('NO DELETE'!$P$7=3,โครงข่าย!J214,IF('NO DELETE'!$P$7=4,โครงข่าย!J280,โครงข่าย!J346))))</f>
        <v>0</v>
      </c>
      <c r="K16" s="90">
        <f>+IF('NO DELETE'!$P$7=1,โครงข่าย!K82,IF('NO DELETE'!$P$7=2,โครงข่าย!K148,IF('NO DELETE'!$P$7=3,โครงข่าย!K214,IF('NO DELETE'!$P$7=4,โครงข่าย!K280,โครงข่าย!K346))))</f>
        <v>6.8523379999999996</v>
      </c>
      <c r="L16" s="90">
        <f>+IF('NO DELETE'!$P$7=1,โครงข่าย!L82,IF('NO DELETE'!$P$7=2,โครงข่าย!L148,IF('NO DELETE'!$P$7=3,โครงข่าย!L214,IF('NO DELETE'!$P$7=4,โครงข่าย!L280,โครงข่าย!L346))))</f>
        <v>101.237452</v>
      </c>
      <c r="M16" s="90">
        <f>+IF('NO DELETE'!$P$7=1,โครงข่าย!M82,IF('NO DELETE'!$P$7=2,โครงข่าย!M148,IF('NO DELETE'!$P$7=3,โครงข่าย!M214,IF('NO DELETE'!$P$7=4,โครงข่าย!M280,โครงข่าย!M346))))</f>
        <v>6.8491790000000004</v>
      </c>
      <c r="N16" s="90">
        <f>+IF('NO DELETE'!$P$7=1,โครงข่าย!N82,IF('NO DELETE'!$P$7=2,โครงข่าย!N148,IF('NO DELETE'!$P$7=3,โครงข่าย!N214,IF('NO DELETE'!$P$7=4,โครงข่าย!N280,โครงข่าย!N346))))</f>
        <v>101.193541</v>
      </c>
    </row>
    <row r="17" spans="1:14" s="24" customFormat="1">
      <c r="A17" s="68">
        <f t="shared" si="0"/>
        <v>11</v>
      </c>
      <c r="B17" s="88" t="str">
        <f>+IF('NO DELETE'!$P$7=1,โครงข่าย!B83,IF('NO DELETE'!$P$7=2,โครงข่าย!B149,IF('NO DELETE'!$P$7=3,โครงข่าย!B215,IF('NO DELETE'!$P$7=4,โครงข่าย!B281,โครงข่าย!B347))))</f>
        <v>ปน.3014</v>
      </c>
      <c r="C17" s="90" t="str">
        <f>+IF('NO DELETE'!$P$7=1,โครงข่าย!C83,IF('NO DELETE'!$P$7=2,โครงข่าย!C149,IF('NO DELETE'!$P$7=3,โครงข่าย!C215,IF('NO DELETE'!$P$7=4,โครงข่าย!C281,โครงข่าย!C347))))</f>
        <v>แยกทางหลวงหมายเลข 409 -บ้านม่วงเตี้ย</v>
      </c>
      <c r="D17" s="90" t="str">
        <f>+IF('NO DELETE'!$P$7=1,โครงข่าย!D83,IF('NO DELETE'!$P$7=2,โครงข่าย!D149,IF('NO DELETE'!$P$7=3,โครงข่าย!D215,IF('NO DELETE'!$P$7=4,โครงข่าย!D281,โครงข่าย!D347))))</f>
        <v>-</v>
      </c>
      <c r="E17" s="88" t="str">
        <f>+IF('NO DELETE'!$P$7=1,โครงข่าย!E83,IF('NO DELETE'!$P$7=2,โครงข่าย!E149,IF('NO DELETE'!$P$7=3,โครงข่าย!E215,IF('NO DELETE'!$P$7=4,โครงข่าย!E281,โครงข่าย!E347))))</f>
        <v>โคกโพธิ์, แม่ลาน,
หนองจิก</v>
      </c>
      <c r="F17" s="88" t="str">
        <f>+IF('NO DELETE'!$P$7=1,โครงข่าย!F83,IF('NO DELETE'!$P$7=2,โครงข่าย!F149,IF('NO DELETE'!$P$7=3,โครงข่าย!F215,IF('NO DELETE'!$P$7=4,โครงข่าย!F281,โครงข่าย!F347))))</f>
        <v>ปัตตานี</v>
      </c>
      <c r="G17" s="90">
        <f>+IF('NO DELETE'!$P$7=1,โครงข่าย!G83,IF('NO DELETE'!$P$7=2,โครงข่าย!G149,IF('NO DELETE'!$P$7=3,โครงข่าย!G215,IF('NO DELETE'!$P$7=4,โครงข่าย!G281,โครงข่าย!G347))))</f>
        <v>11.49</v>
      </c>
      <c r="H17" s="90">
        <f>+IF('NO DELETE'!$P$7=1,โครงข่าย!H83,IF('NO DELETE'!$P$7=2,โครงข่าย!H149,IF('NO DELETE'!$P$7=3,โครงข่าย!H215,IF('NO DELETE'!$P$7=4,โครงข่าย!H281,โครงข่าย!H347))))</f>
        <v>0</v>
      </c>
      <c r="I17" s="90">
        <f>+IF('NO DELETE'!$P$7=1,โครงข่าย!I83,IF('NO DELETE'!$P$7=2,โครงข่าย!I149,IF('NO DELETE'!$P$7=3,โครงข่าย!I215,IF('NO DELETE'!$P$7=4,โครงข่าย!I281,โครงข่าย!I347))))</f>
        <v>11.49</v>
      </c>
      <c r="J17" s="90">
        <f>+IF('NO DELETE'!$P$7=1,โครงข่าย!J83,IF('NO DELETE'!$P$7=2,โครงข่าย!J149,IF('NO DELETE'!$P$7=3,โครงข่าย!J215,IF('NO DELETE'!$P$7=4,โครงข่าย!J281,โครงข่าย!J347))))</f>
        <v>0</v>
      </c>
      <c r="K17" s="90">
        <f>+IF('NO DELETE'!$P$7=1,โครงข่าย!K83,IF('NO DELETE'!$P$7=2,โครงข่าย!K149,IF('NO DELETE'!$P$7=3,โครงข่าย!K215,IF('NO DELETE'!$P$7=4,โครงข่าย!K281,โครงข่าย!K347))))</f>
        <v>6.6326939999999999</v>
      </c>
      <c r="L17" s="90">
        <f>+IF('NO DELETE'!$P$7=1,โครงข่าย!L83,IF('NO DELETE'!$P$7=2,โครงข่าย!L149,IF('NO DELETE'!$P$7=3,โครงข่าย!L215,IF('NO DELETE'!$P$7=4,โครงข่าย!L281,โครงข่าย!L347))))</f>
        <v>101.186975</v>
      </c>
      <c r="M17" s="90">
        <f>+IF('NO DELETE'!$P$7=1,โครงข่าย!M83,IF('NO DELETE'!$P$7=2,โครงข่าย!M149,IF('NO DELETE'!$P$7=3,โครงข่าย!M215,IF('NO DELETE'!$P$7=4,โครงข่าย!M281,โครงข่าย!M347))))</f>
        <v>6.6840219999999997</v>
      </c>
      <c r="N17" s="90">
        <f>+IF('NO DELETE'!$P$7=1,โครงข่าย!N83,IF('NO DELETE'!$P$7=2,โครงข่าย!N149,IF('NO DELETE'!$P$7=3,โครงข่าย!N215,IF('NO DELETE'!$P$7=4,โครงข่าย!N281,โครงข่าย!N347))))</f>
        <v>101.25194999999999</v>
      </c>
    </row>
    <row r="18" spans="1:14" s="24" customFormat="1">
      <c r="A18" s="68">
        <f t="shared" si="0"/>
        <v>12</v>
      </c>
      <c r="B18" s="88" t="str">
        <f>+IF('NO DELETE'!$P$7=1,โครงข่าย!B84,IF('NO DELETE'!$P$7=2,โครงข่าย!B150,IF('NO DELETE'!$P$7=3,โครงข่าย!B216,IF('NO DELETE'!$P$7=4,โครงข่าย!B282,โครงข่าย!B348))))</f>
        <v>ปน.4015</v>
      </c>
      <c r="C18" s="90" t="str">
        <f>+IF('NO DELETE'!$P$7=1,โครงข่าย!C84,IF('NO DELETE'!$P$7=2,โครงข่าย!C150,IF('NO DELETE'!$P$7=3,โครงข่าย!C216,IF('NO DELETE'!$P$7=4,โครงข่าย!C282,โครงข่าย!C348))))</f>
        <v>แยกทางหลวงหมายเลข 4061 - บ้านบางเก่า</v>
      </c>
      <c r="D18" s="90" t="str">
        <f>+IF('NO DELETE'!$P$7=1,โครงข่าย!D84,IF('NO DELETE'!$P$7=2,โครงข่าย!D150,IF('NO DELETE'!$P$7=3,โครงข่าย!D216,IF('NO DELETE'!$P$7=4,โครงข่าย!D282,โครงข่าย!D348))))</f>
        <v>-</v>
      </c>
      <c r="E18" s="88" t="str">
        <f>+IF('NO DELETE'!$P$7=1,โครงข่าย!E84,IF('NO DELETE'!$P$7=2,โครงข่าย!E150,IF('NO DELETE'!$P$7=3,โครงข่าย!E216,IF('NO DELETE'!$P$7=4,โครงข่าย!E282,โครงข่าย!E348))))</f>
        <v>ปะนาเระ,สายบุรี</v>
      </c>
      <c r="F18" s="88" t="str">
        <f>+IF('NO DELETE'!$P$7=1,โครงข่าย!F84,IF('NO DELETE'!$P$7=2,โครงข่าย!F150,IF('NO DELETE'!$P$7=3,โครงข่าย!F216,IF('NO DELETE'!$P$7=4,โครงข่าย!F282,โครงข่าย!F348))))</f>
        <v>ปัตตานี</v>
      </c>
      <c r="G18" s="90">
        <f>+IF('NO DELETE'!$P$7=1,โครงข่าย!G84,IF('NO DELETE'!$P$7=2,โครงข่าย!G150,IF('NO DELETE'!$P$7=3,โครงข่าย!G216,IF('NO DELETE'!$P$7=4,โครงข่าย!G282,โครงข่าย!G348))))</f>
        <v>13.5</v>
      </c>
      <c r="H18" s="90">
        <f>+IF('NO DELETE'!$P$7=1,โครงข่าย!H84,IF('NO DELETE'!$P$7=2,โครงข่าย!H150,IF('NO DELETE'!$P$7=3,โครงข่าย!H216,IF('NO DELETE'!$P$7=4,โครงข่าย!H282,โครงข่าย!H348))))</f>
        <v>0</v>
      </c>
      <c r="I18" s="90">
        <f>+IF('NO DELETE'!$P$7=1,โครงข่าย!I84,IF('NO DELETE'!$P$7=2,โครงข่าย!I150,IF('NO DELETE'!$P$7=3,โครงข่าย!I216,IF('NO DELETE'!$P$7=4,โครงข่าย!I282,โครงข่าย!I348))))</f>
        <v>13.5</v>
      </c>
      <c r="J18" s="90">
        <f>+IF('NO DELETE'!$P$7=1,โครงข่าย!J84,IF('NO DELETE'!$P$7=2,โครงข่าย!J150,IF('NO DELETE'!$P$7=3,โครงข่าย!J216,IF('NO DELETE'!$P$7=4,โครงข่าย!J282,โครงข่าย!J348))))</f>
        <v>0</v>
      </c>
      <c r="K18" s="90">
        <f>+IF('NO DELETE'!$P$7=1,โครงข่าย!K84,IF('NO DELETE'!$P$7=2,โครงข่าย!K150,IF('NO DELETE'!$P$7=3,โครงข่าย!K216,IF('NO DELETE'!$P$7=4,โครงข่าย!K282,โครงข่าย!K348))))</f>
        <v>6.76356</v>
      </c>
      <c r="L18" s="90">
        <f>+IF('NO DELETE'!$P$7=1,โครงข่าย!L84,IF('NO DELETE'!$P$7=2,โครงข่าย!L150,IF('NO DELETE'!$P$7=3,โครงข่าย!L216,IF('NO DELETE'!$P$7=4,โครงข่าย!L282,โครงข่าย!L348))))</f>
        <v>101.48855</v>
      </c>
      <c r="M18" s="90">
        <f>+IF('NO DELETE'!$P$7=1,โครงข่าย!M84,IF('NO DELETE'!$P$7=2,โครงข่าย!M150,IF('NO DELETE'!$P$7=3,โครงข่าย!M216,IF('NO DELETE'!$P$7=4,โครงข่าย!M282,โครงข่าย!M348))))</f>
        <v>6.7703100000000003</v>
      </c>
      <c r="N18" s="90">
        <f>+IF('NO DELETE'!$P$7=1,โครงข่าย!N84,IF('NO DELETE'!$P$7=2,โครงข่าย!N150,IF('NO DELETE'!$P$7=3,โครงข่าย!N216,IF('NO DELETE'!$P$7=4,โครงข่าย!N282,โครงข่าย!N348))))</f>
        <v>101.60082</v>
      </c>
    </row>
    <row r="19" spans="1:14" s="24" customFormat="1">
      <c r="A19" s="68">
        <f t="shared" si="0"/>
        <v>13</v>
      </c>
      <c r="B19" s="88" t="str">
        <f>+IF('NO DELETE'!$P$7=1,โครงข่าย!B85,IF('NO DELETE'!$P$7=2,โครงข่าย!B151,IF('NO DELETE'!$P$7=3,โครงข่าย!B217,IF('NO DELETE'!$P$7=4,โครงข่าย!B283,โครงข่าย!B349))))</f>
        <v>ปน.2016</v>
      </c>
      <c r="C19" s="90" t="str">
        <f>+IF('NO DELETE'!$P$7=1,โครงข่าย!C85,IF('NO DELETE'!$P$7=2,โครงข่าย!C151,IF('NO DELETE'!$P$7=3,โครงข่าย!C217,IF('NO DELETE'!$P$7=4,โครงข่าย!C283,โครงข่าย!C349))))</f>
        <v>แยกทางหลวงหมายเลข 42 -บ้านสำเภา</v>
      </c>
      <c r="D19" s="90" t="str">
        <f>+IF('NO DELETE'!$P$7=1,โครงข่าย!D85,IF('NO DELETE'!$P$7=2,โครงข่าย!D151,IF('NO DELETE'!$P$7=3,โครงข่าย!D217,IF('NO DELETE'!$P$7=4,โครงข่าย!D283,โครงข่าย!D349))))</f>
        <v>-</v>
      </c>
      <c r="E19" s="88" t="str">
        <f>+IF('NO DELETE'!$P$7=1,โครงข่าย!E85,IF('NO DELETE'!$P$7=2,โครงข่าย!E151,IF('NO DELETE'!$P$7=3,โครงข่าย!E217,IF('NO DELETE'!$P$7=4,โครงข่าย!E283,โครงข่าย!E349))))</f>
        <v>ยะหริ่ง,ปะนาเระ</v>
      </c>
      <c r="F19" s="88" t="str">
        <f>+IF('NO DELETE'!$P$7=1,โครงข่าย!F85,IF('NO DELETE'!$P$7=2,โครงข่าย!F151,IF('NO DELETE'!$P$7=3,โครงข่าย!F217,IF('NO DELETE'!$P$7=4,โครงข่าย!F283,โครงข่าย!F349))))</f>
        <v>ปัตตานี</v>
      </c>
      <c r="G19" s="90">
        <f>+IF('NO DELETE'!$P$7=1,โครงข่าย!G85,IF('NO DELETE'!$P$7=2,โครงข่าย!G151,IF('NO DELETE'!$P$7=3,โครงข่าย!G217,IF('NO DELETE'!$P$7=4,โครงข่าย!G283,โครงข่าย!G349))))</f>
        <v>13.115</v>
      </c>
      <c r="H19" s="90">
        <f>+IF('NO DELETE'!$P$7=1,โครงข่าย!H85,IF('NO DELETE'!$P$7=2,โครงข่าย!H151,IF('NO DELETE'!$P$7=3,โครงข่าย!H217,IF('NO DELETE'!$P$7=4,โครงข่าย!H283,โครงข่าย!H349))))</f>
        <v>0</v>
      </c>
      <c r="I19" s="90">
        <f>+IF('NO DELETE'!$P$7=1,โครงข่าย!I85,IF('NO DELETE'!$P$7=2,โครงข่าย!I151,IF('NO DELETE'!$P$7=3,โครงข่าย!I217,IF('NO DELETE'!$P$7=4,โครงข่าย!I283,โครงข่าย!I349))))</f>
        <v>13.115</v>
      </c>
      <c r="J19" s="90">
        <f>+IF('NO DELETE'!$P$7=1,โครงข่าย!J85,IF('NO DELETE'!$P$7=2,โครงข่าย!J151,IF('NO DELETE'!$P$7=3,โครงข่าย!J217,IF('NO DELETE'!$P$7=4,โครงข่าย!J283,โครงข่าย!J349))))</f>
        <v>0</v>
      </c>
      <c r="K19" s="90">
        <f>+IF('NO DELETE'!$P$7=1,โครงข่าย!K85,IF('NO DELETE'!$P$7=2,โครงข่าย!K151,IF('NO DELETE'!$P$7=3,โครงข่าย!K217,IF('NO DELETE'!$P$7=4,โครงข่าย!K283,โครงข่าย!K349))))</f>
        <v>6.8467520000000004</v>
      </c>
      <c r="L19" s="90">
        <f>+IF('NO DELETE'!$P$7=1,โครงข่าย!L85,IF('NO DELETE'!$P$7=2,โครงข่าย!L151,IF('NO DELETE'!$P$7=3,โครงข่าย!L217,IF('NO DELETE'!$P$7=4,โครงข่าย!L283,โครงข่าย!L349))))</f>
        <v>101.379786</v>
      </c>
      <c r="M19" s="90">
        <f>+IF('NO DELETE'!$P$7=1,โครงข่าย!M85,IF('NO DELETE'!$P$7=2,โครงข่าย!M151,IF('NO DELETE'!$P$7=3,โครงข่าย!M217,IF('NO DELETE'!$P$7=4,โครงข่าย!M283,โครงข่าย!M349))))</f>
        <v>6.8540720000000004</v>
      </c>
      <c r="N19" s="90">
        <f>+IF('NO DELETE'!$P$7=1,โครงข่าย!N85,IF('NO DELETE'!$P$7=2,โครงข่าย!N151,IF('NO DELETE'!$P$7=3,โครงข่าย!N217,IF('NO DELETE'!$P$7=4,โครงข่าย!N283,โครงข่าย!N349))))</f>
        <v>101.48929699999999</v>
      </c>
    </row>
    <row r="20" spans="1:14" s="24" customFormat="1">
      <c r="A20" s="68">
        <f t="shared" si="0"/>
        <v>14</v>
      </c>
      <c r="B20" s="88" t="str">
        <f>+IF('NO DELETE'!$P$7=1,โครงข่าย!B86,IF('NO DELETE'!$P$7=2,โครงข่าย!B152,IF('NO DELETE'!$P$7=3,โครงข่าย!B218,IF('NO DELETE'!$P$7=4,โครงข่าย!B284,โครงข่าย!B350))))</f>
        <v>ปน.4017</v>
      </c>
      <c r="C20" s="90" t="str">
        <f>+IF('NO DELETE'!$P$7=1,โครงข่าย!C86,IF('NO DELETE'!$P$7=2,โครงข่าย!C152,IF('NO DELETE'!$P$7=3,โครงข่าย!C218,IF('NO DELETE'!$P$7=4,โครงข่าย!C284,โครงข่าย!C350))))</f>
        <v>แยกทางหลวงหมายเลข 4061 -บ้านน้ำบ่อ</v>
      </c>
      <c r="D20" s="90" t="str">
        <f>+IF('NO DELETE'!$P$7=1,โครงข่าย!D86,IF('NO DELETE'!$P$7=2,โครงข่าย!D152,IF('NO DELETE'!$P$7=3,โครงข่าย!D218,IF('NO DELETE'!$P$7=4,โครงข่าย!D284,โครงข่าย!D350))))</f>
        <v>-</v>
      </c>
      <c r="E20" s="88" t="str">
        <f>+IF('NO DELETE'!$P$7=1,โครงข่าย!E86,IF('NO DELETE'!$P$7=2,โครงข่าย!E152,IF('NO DELETE'!$P$7=3,โครงข่าย!E218,IF('NO DELETE'!$P$7=4,โครงข่าย!E284,โครงข่าย!E350))))</f>
        <v>ปะนาเระ</v>
      </c>
      <c r="F20" s="88" t="str">
        <f>+IF('NO DELETE'!$P$7=1,โครงข่าย!F86,IF('NO DELETE'!$P$7=2,โครงข่าย!F152,IF('NO DELETE'!$P$7=3,โครงข่าย!F218,IF('NO DELETE'!$P$7=4,โครงข่าย!F284,โครงข่าย!F350))))</f>
        <v>ปัตตานี</v>
      </c>
      <c r="G20" s="90">
        <f>+IF('NO DELETE'!$P$7=1,โครงข่าย!G86,IF('NO DELETE'!$P$7=2,โครงข่าย!G152,IF('NO DELETE'!$P$7=3,โครงข่าย!G218,IF('NO DELETE'!$P$7=4,โครงข่าย!G284,โครงข่าย!G350))))</f>
        <v>14.707000000000001</v>
      </c>
      <c r="H20" s="90">
        <f>+IF('NO DELETE'!$P$7=1,โครงข่าย!H86,IF('NO DELETE'!$P$7=2,โครงข่าย!H152,IF('NO DELETE'!$P$7=3,โครงข่าย!H218,IF('NO DELETE'!$P$7=4,โครงข่าย!H284,โครงข่าย!H350))))</f>
        <v>0</v>
      </c>
      <c r="I20" s="90">
        <f>+IF('NO DELETE'!$P$7=1,โครงข่าย!I86,IF('NO DELETE'!$P$7=2,โครงข่าย!I152,IF('NO DELETE'!$P$7=3,โครงข่าย!I218,IF('NO DELETE'!$P$7=4,โครงข่าย!I284,โครงข่าย!I350))))</f>
        <v>14.707000000000001</v>
      </c>
      <c r="J20" s="90">
        <f>+IF('NO DELETE'!$P$7=1,โครงข่าย!J86,IF('NO DELETE'!$P$7=2,โครงข่าย!J152,IF('NO DELETE'!$P$7=3,โครงข่าย!J218,IF('NO DELETE'!$P$7=4,โครงข่าย!J284,โครงข่าย!J350))))</f>
        <v>0</v>
      </c>
      <c r="K20" s="90">
        <f>+IF('NO DELETE'!$P$7=1,โครงข่าย!K86,IF('NO DELETE'!$P$7=2,โครงข่าย!K152,IF('NO DELETE'!$P$7=3,โครงข่าย!K218,IF('NO DELETE'!$P$7=4,โครงข่าย!K284,โครงข่าย!K350))))</f>
        <v>6.8395299999999999</v>
      </c>
      <c r="L20" s="90">
        <f>+IF('NO DELETE'!$P$7=1,โครงข่าย!L86,IF('NO DELETE'!$P$7=2,โครงข่าย!L152,IF('NO DELETE'!$P$7=3,โครงข่าย!L218,IF('NO DELETE'!$P$7=4,โครงข่าย!L284,โครงข่าย!L350))))</f>
        <v>101.4854</v>
      </c>
      <c r="M20" s="90">
        <f>+IF('NO DELETE'!$P$7=1,โครงข่าย!M86,IF('NO DELETE'!$P$7=2,โครงข่าย!M152,IF('NO DELETE'!$P$7=3,โครงข่าย!M218,IF('NO DELETE'!$P$7=4,โครงข่าย!M284,โครงข่าย!M350))))</f>
        <v>6.8108310000000003</v>
      </c>
      <c r="N20" s="90">
        <f>+IF('NO DELETE'!$P$7=1,โครงข่าย!N86,IF('NO DELETE'!$P$7=2,โครงข่าย!N152,IF('NO DELETE'!$P$7=3,โครงข่าย!N218,IF('NO DELETE'!$P$7=4,โครงข่าย!N284,โครงข่าย!N350))))</f>
        <v>101.57501000000001</v>
      </c>
    </row>
    <row r="21" spans="1:14" s="24" customFormat="1">
      <c r="A21" s="68">
        <f t="shared" si="0"/>
        <v>15</v>
      </c>
      <c r="B21" s="88" t="str">
        <f>+IF('NO DELETE'!$P$7=1,โครงข่าย!B87,IF('NO DELETE'!$P$7=2,โครงข่าย!B153,IF('NO DELETE'!$P$7=3,โครงข่าย!B219,IF('NO DELETE'!$P$7=4,โครงข่าย!B285,โครงข่าย!B351))))</f>
        <v>ปน.2019</v>
      </c>
      <c r="C21" s="90" t="str">
        <f>+IF('NO DELETE'!$P$7=1,โครงข่าย!C87,IF('NO DELETE'!$P$7=2,โครงข่าย!C153,IF('NO DELETE'!$P$7=3,โครงข่าย!C219,IF('NO DELETE'!$P$7=4,โครงข่าย!C285,โครงข่าย!C351))))</f>
        <v>แยกทางหลวงหมายเลข 42 -บ้านควนคูหา</v>
      </c>
      <c r="D21" s="90" t="str">
        <f>+IF('NO DELETE'!$P$7=1,โครงข่าย!D87,IF('NO DELETE'!$P$7=2,โครงข่าย!D153,IF('NO DELETE'!$P$7=3,โครงข่าย!D219,IF('NO DELETE'!$P$7=4,โครงข่าย!D285,โครงข่าย!D351))))</f>
        <v>-</v>
      </c>
      <c r="E21" s="88" t="str">
        <f>+IF('NO DELETE'!$P$7=1,โครงข่าย!E87,IF('NO DELETE'!$P$7=2,โครงข่าย!E153,IF('NO DELETE'!$P$7=3,โครงข่าย!E219,IF('NO DELETE'!$P$7=4,โครงข่าย!E285,โครงข่าย!E351))))</f>
        <v>หนองจิก</v>
      </c>
      <c r="F21" s="88" t="str">
        <f>+IF('NO DELETE'!$P$7=1,โครงข่าย!F87,IF('NO DELETE'!$P$7=2,โครงข่าย!F153,IF('NO DELETE'!$P$7=3,โครงข่าย!F219,IF('NO DELETE'!$P$7=4,โครงข่าย!F285,โครงข่าย!F351))))</f>
        <v>ปัตตานี</v>
      </c>
      <c r="G21" s="90">
        <f>+IF('NO DELETE'!$P$7=1,โครงข่าย!G87,IF('NO DELETE'!$P$7=2,โครงข่าย!G153,IF('NO DELETE'!$P$7=3,โครงข่าย!G219,IF('NO DELETE'!$P$7=4,โครงข่าย!G285,โครงข่าย!G351))))</f>
        <v>6.05</v>
      </c>
      <c r="H21" s="90">
        <f>+IF('NO DELETE'!$P$7=1,โครงข่าย!H87,IF('NO DELETE'!$P$7=2,โครงข่าย!H153,IF('NO DELETE'!$P$7=3,โครงข่าย!H219,IF('NO DELETE'!$P$7=4,โครงข่าย!H285,โครงข่าย!H351))))</f>
        <v>0</v>
      </c>
      <c r="I21" s="90">
        <f>+IF('NO DELETE'!$P$7=1,โครงข่าย!I87,IF('NO DELETE'!$P$7=2,โครงข่าย!I153,IF('NO DELETE'!$P$7=3,โครงข่าย!I219,IF('NO DELETE'!$P$7=4,โครงข่าย!I285,โครงข่าย!I351))))</f>
        <v>6.05</v>
      </c>
      <c r="J21" s="90">
        <f>+IF('NO DELETE'!$P$7=1,โครงข่าย!J87,IF('NO DELETE'!$P$7=2,โครงข่าย!J153,IF('NO DELETE'!$P$7=3,โครงข่าย!J219,IF('NO DELETE'!$P$7=4,โครงข่าย!J285,โครงข่าย!J351))))</f>
        <v>0</v>
      </c>
      <c r="K21" s="90">
        <f>+IF('NO DELETE'!$P$7=1,โครงข่าย!K87,IF('NO DELETE'!$P$7=2,โครงข่าย!K153,IF('NO DELETE'!$P$7=3,โครงข่าย!K219,IF('NO DELETE'!$P$7=4,โครงข่าย!K285,โครงข่าย!K351))))</f>
        <v>6.7932269999999999</v>
      </c>
      <c r="L21" s="90">
        <f>+IF('NO DELETE'!$P$7=1,โครงข่าย!L87,IF('NO DELETE'!$P$7=2,โครงข่าย!L153,IF('NO DELETE'!$P$7=3,โครงข่าย!L219,IF('NO DELETE'!$P$7=4,โครงข่าย!L285,โครงข่าย!L351))))</f>
        <v>101.147944</v>
      </c>
      <c r="M21" s="90">
        <f>+IF('NO DELETE'!$P$7=1,โครงข่าย!M87,IF('NO DELETE'!$P$7=2,โครงข่าย!M153,IF('NO DELETE'!$P$7=3,โครงข่าย!M219,IF('NO DELETE'!$P$7=4,โครงข่าย!M285,โครงข่าย!M351))))</f>
        <v>6.7965220000000004</v>
      </c>
      <c r="N21" s="90">
        <f>+IF('NO DELETE'!$P$7=1,โครงข่าย!N87,IF('NO DELETE'!$P$7=2,โครงข่าย!N153,IF('NO DELETE'!$P$7=3,โครงข่าย!N219,IF('NO DELETE'!$P$7=4,โครงข่าย!N285,โครงข่าย!N351))))</f>
        <v>101.098219</v>
      </c>
    </row>
    <row r="22" spans="1:14" s="24" customFormat="1">
      <c r="A22" s="68">
        <f t="shared" si="0"/>
        <v>16</v>
      </c>
      <c r="B22" s="88" t="str">
        <f>+IF('NO DELETE'!$P$7=1,โครงข่าย!B88,IF('NO DELETE'!$P$7=2,โครงข่าย!B154,IF('NO DELETE'!$P$7=3,โครงข่าย!B220,IF('NO DELETE'!$P$7=4,โครงข่าย!B286,โครงข่าย!B352))))</f>
        <v>ปน.2020</v>
      </c>
      <c r="C22" s="90" t="str">
        <f>+IF('NO DELETE'!$P$7=1,โครงข่าย!C88,IF('NO DELETE'!$P$7=2,โครงข่าย!C154,IF('NO DELETE'!$P$7=3,โครงข่าย!C220,IF('NO DELETE'!$P$7=4,โครงข่าย!C286,โครงข่าย!C352))))</f>
        <v>แยกทางหลวงหมายเลข 42 -บ้านบาซากาจิ</v>
      </c>
      <c r="D22" s="90" t="str">
        <f>+IF('NO DELETE'!$P$7=1,โครงข่าย!D88,IF('NO DELETE'!$P$7=2,โครงข่าย!D154,IF('NO DELETE'!$P$7=3,โครงข่าย!D220,IF('NO DELETE'!$P$7=4,โครงข่าย!D286,โครงข่าย!D352))))</f>
        <v>-</v>
      </c>
      <c r="E22" s="88" t="str">
        <f>+IF('NO DELETE'!$P$7=1,โครงข่าย!E88,IF('NO DELETE'!$P$7=2,โครงข่าย!E154,IF('NO DELETE'!$P$7=3,โครงข่าย!E220,IF('NO DELETE'!$P$7=4,โครงข่าย!E286,โครงข่าย!E352))))</f>
        <v>ยะหริ่ง, มายอ, ยะรัง</v>
      </c>
      <c r="F22" s="88" t="str">
        <f>+IF('NO DELETE'!$P$7=1,โครงข่าย!F88,IF('NO DELETE'!$P$7=2,โครงข่าย!F154,IF('NO DELETE'!$P$7=3,โครงข่าย!F220,IF('NO DELETE'!$P$7=4,โครงข่าย!F286,โครงข่าย!F352))))</f>
        <v>ปัตตานี</v>
      </c>
      <c r="G22" s="90">
        <f>+IF('NO DELETE'!$P$7=1,โครงข่าย!G88,IF('NO DELETE'!$P$7=2,โครงข่าย!G154,IF('NO DELETE'!$P$7=3,โครงข่าย!G220,IF('NO DELETE'!$P$7=4,โครงข่าย!G286,โครงข่าย!G352))))</f>
        <v>21.620999999999999</v>
      </c>
      <c r="H22" s="90">
        <f>+IF('NO DELETE'!$P$7=1,โครงข่าย!H88,IF('NO DELETE'!$P$7=2,โครงข่าย!H154,IF('NO DELETE'!$P$7=3,โครงข่าย!H220,IF('NO DELETE'!$P$7=4,โครงข่าย!H286,โครงข่าย!H352))))</f>
        <v>0</v>
      </c>
      <c r="I22" s="90">
        <f>+IF('NO DELETE'!$P$7=1,โครงข่าย!I88,IF('NO DELETE'!$P$7=2,โครงข่าย!I154,IF('NO DELETE'!$P$7=3,โครงข่าย!I220,IF('NO DELETE'!$P$7=4,โครงข่าย!I286,โครงข่าย!I352))))</f>
        <v>21.620999999999999</v>
      </c>
      <c r="J22" s="90">
        <f>+IF('NO DELETE'!$P$7=1,โครงข่าย!J88,IF('NO DELETE'!$P$7=2,โครงข่าย!J154,IF('NO DELETE'!$P$7=3,โครงข่าย!J220,IF('NO DELETE'!$P$7=4,โครงข่าย!J286,โครงข่าย!J352))))</f>
        <v>0</v>
      </c>
      <c r="K22" s="90">
        <f>+IF('NO DELETE'!$P$7=1,โครงข่าย!K88,IF('NO DELETE'!$P$7=2,โครงข่าย!K154,IF('NO DELETE'!$P$7=3,โครงข่าย!K220,IF('NO DELETE'!$P$7=4,โครงข่าย!K286,โครงข่าย!K352))))</f>
        <v>6.8613900000000001</v>
      </c>
      <c r="L22" s="90">
        <f>+IF('NO DELETE'!$P$7=1,โครงข่าย!L88,IF('NO DELETE'!$P$7=2,โครงข่าย!L154,IF('NO DELETE'!$P$7=3,โครงข่าย!L220,IF('NO DELETE'!$P$7=4,โครงข่าย!L286,โครงข่าย!L352))))</f>
        <v>101.36772000000001</v>
      </c>
      <c r="M22" s="90">
        <f>+IF('NO DELETE'!$P$7=1,โครงข่าย!M88,IF('NO DELETE'!$P$7=2,โครงข่าย!M154,IF('NO DELETE'!$P$7=3,โครงข่าย!M220,IF('NO DELETE'!$P$7=4,โครงข่าย!M286,โครงข่าย!M352))))</f>
        <v>6.7127999999999997</v>
      </c>
      <c r="N22" s="90">
        <f>+IF('NO DELETE'!$P$7=1,โครงข่าย!N88,IF('NO DELETE'!$P$7=2,โครงข่าย!N154,IF('NO DELETE'!$P$7=3,โครงข่าย!N220,IF('NO DELETE'!$P$7=4,โครงข่าย!N286,โครงข่าย!N352))))</f>
        <v>101.29069</v>
      </c>
    </row>
    <row r="23" spans="1:14" s="24" customFormat="1">
      <c r="A23" s="68">
        <f t="shared" si="0"/>
        <v>17</v>
      </c>
      <c r="B23" s="88" t="str">
        <f>+IF('NO DELETE'!$P$7=1,โครงข่าย!B89,IF('NO DELETE'!$P$7=2,โครงข่าย!B155,IF('NO DELETE'!$P$7=3,โครงข่าย!B221,IF('NO DELETE'!$P$7=4,โครงข่าย!B287,โครงข่าย!B353))))</f>
        <v>ปน.2023</v>
      </c>
      <c r="C23" s="90" t="str">
        <f>+IF('NO DELETE'!$P$7=1,โครงข่าย!C89,IF('NO DELETE'!$P$7=2,โครงข่าย!C155,IF('NO DELETE'!$P$7=3,โครงข่าย!C221,IF('NO DELETE'!$P$7=4,โครงข่าย!C287,โครงข่าย!C353))))</f>
        <v>แยกทางหลวงหมายเลข 42-บ้านลาเกาะ</v>
      </c>
      <c r="D23" s="90" t="str">
        <f>+IF('NO DELETE'!$P$7=1,โครงข่าย!D89,IF('NO DELETE'!$P$7=2,โครงข่าย!D155,IF('NO DELETE'!$P$7=3,โครงข่าย!D221,IF('NO DELETE'!$P$7=4,โครงข่าย!D287,โครงข่าย!D353))))</f>
        <v>-</v>
      </c>
      <c r="E23" s="88" t="str">
        <f>+IF('NO DELETE'!$P$7=1,โครงข่าย!E89,IF('NO DELETE'!$P$7=2,โครงข่าย!E155,IF('NO DELETE'!$P$7=3,โครงข่าย!E221,IF('NO DELETE'!$P$7=4,โครงข่าย!E287,โครงข่าย!E353))))</f>
        <v>ยะหริ่ง,มายอ</v>
      </c>
      <c r="F23" s="88" t="str">
        <f>+IF('NO DELETE'!$P$7=1,โครงข่าย!F89,IF('NO DELETE'!$P$7=2,โครงข่าย!F155,IF('NO DELETE'!$P$7=3,โครงข่าย!F221,IF('NO DELETE'!$P$7=4,โครงข่าย!F287,โครงข่าย!F353))))</f>
        <v>ปัตตานี</v>
      </c>
      <c r="G23" s="90">
        <f>+IF('NO DELETE'!$P$7=1,โครงข่าย!G89,IF('NO DELETE'!$P$7=2,โครงข่าย!G155,IF('NO DELETE'!$P$7=3,โครงข่าย!G221,IF('NO DELETE'!$P$7=4,โครงข่าย!G287,โครงข่าย!G353))))</f>
        <v>12.385999999999999</v>
      </c>
      <c r="H23" s="90">
        <f>+IF('NO DELETE'!$P$7=1,โครงข่าย!H89,IF('NO DELETE'!$P$7=2,โครงข่าย!H155,IF('NO DELETE'!$P$7=3,โครงข่าย!H221,IF('NO DELETE'!$P$7=4,โครงข่าย!H287,โครงข่าย!H353))))</f>
        <v>0</v>
      </c>
      <c r="I23" s="90">
        <f>+IF('NO DELETE'!$P$7=1,โครงข่าย!I89,IF('NO DELETE'!$P$7=2,โครงข่าย!I155,IF('NO DELETE'!$P$7=3,โครงข่าย!I221,IF('NO DELETE'!$P$7=4,โครงข่าย!I287,โครงข่าย!I353))))</f>
        <v>12.385999999999999</v>
      </c>
      <c r="J23" s="90">
        <f>+IF('NO DELETE'!$P$7=1,โครงข่าย!J89,IF('NO DELETE'!$P$7=2,โครงข่าย!J155,IF('NO DELETE'!$P$7=3,โครงข่าย!J221,IF('NO DELETE'!$P$7=4,โครงข่าย!J287,โครงข่าย!J353))))</f>
        <v>0</v>
      </c>
      <c r="K23" s="90">
        <f>+IF('NO DELETE'!$P$7=1,โครงข่าย!K89,IF('NO DELETE'!$P$7=2,โครงข่าย!K155,IF('NO DELETE'!$P$7=3,โครงข่าย!K221,IF('NO DELETE'!$P$7=4,โครงข่าย!K287,โครงข่าย!K353))))</f>
        <v>6.8163499999999999</v>
      </c>
      <c r="L23" s="90">
        <f>+IF('NO DELETE'!$P$7=1,โครงข่าย!L89,IF('NO DELETE'!$P$7=2,โครงข่าย!L155,IF('NO DELETE'!$P$7=3,โครงข่าย!L221,IF('NO DELETE'!$P$7=4,โครงข่าย!L287,โครงข่าย!L353))))</f>
        <v>101.41553</v>
      </c>
      <c r="M23" s="90">
        <f>+IF('NO DELETE'!$P$7=1,โครงข่าย!M89,IF('NO DELETE'!$P$7=2,โครงข่าย!M155,IF('NO DELETE'!$P$7=3,โครงข่าย!M221,IF('NO DELETE'!$P$7=4,โครงข่าย!M287,โครงข่าย!M353))))</f>
        <v>6.7220700000000004</v>
      </c>
      <c r="N23" s="90">
        <f>+IF('NO DELETE'!$P$7=1,โครงข่าย!N89,IF('NO DELETE'!$P$7=2,โครงข่าย!N155,IF('NO DELETE'!$P$7=3,โครงข่าย!N221,IF('NO DELETE'!$P$7=4,โครงข่าย!N287,โครงข่าย!N353))))</f>
        <v>101.40319</v>
      </c>
    </row>
    <row r="24" spans="1:14" s="24" customFormat="1">
      <c r="A24" s="68">
        <f t="shared" si="0"/>
        <v>18</v>
      </c>
      <c r="B24" s="88" t="str">
        <f>+IF('NO DELETE'!$P$7=1,โครงข่าย!B90,IF('NO DELETE'!$P$7=2,โครงข่าย!B156,IF('NO DELETE'!$P$7=3,โครงข่าย!B222,IF('NO DELETE'!$P$7=4,โครงข่าย!B288,โครงข่าย!B354))))</f>
        <v>ปน.2024</v>
      </c>
      <c r="C24" s="90" t="str">
        <f>+IF('NO DELETE'!$P$7=1,โครงข่าย!C90,IF('NO DELETE'!$P$7=2,โครงข่าย!C156,IF('NO DELETE'!$P$7=3,โครงข่าย!C222,IF('NO DELETE'!$P$7=4,โครงข่าย!C288,โครงข่าย!C354))))</f>
        <v>แยกทางหลวงหมายเลข 42-บ้านดูวา</v>
      </c>
      <c r="D24" s="90" t="str">
        <f>+IF('NO DELETE'!$P$7=1,โครงข่าย!D90,IF('NO DELETE'!$P$7=2,โครงข่าย!D156,IF('NO DELETE'!$P$7=3,โครงข่าย!D222,IF('NO DELETE'!$P$7=4,โครงข่าย!D288,โครงข่าย!D354))))</f>
        <v>-</v>
      </c>
      <c r="E24" s="88" t="str">
        <f>+IF('NO DELETE'!$P$7=1,โครงข่าย!E90,IF('NO DELETE'!$P$7=2,โครงข่าย!E156,IF('NO DELETE'!$P$7=3,โครงข่าย!E222,IF('NO DELETE'!$P$7=4,โครงข่าย!E288,โครงข่าย!E354))))</f>
        <v>ยะหริ่ง,มายอ</v>
      </c>
      <c r="F24" s="88" t="str">
        <f>+IF('NO DELETE'!$P$7=1,โครงข่าย!F90,IF('NO DELETE'!$P$7=2,โครงข่าย!F156,IF('NO DELETE'!$P$7=3,โครงข่าย!F222,IF('NO DELETE'!$P$7=4,โครงข่าย!F288,โครงข่าย!F354))))</f>
        <v>ปัตตานี</v>
      </c>
      <c r="G24" s="90">
        <f>+IF('NO DELETE'!$P$7=1,โครงข่าย!G90,IF('NO DELETE'!$P$7=2,โครงข่าย!G156,IF('NO DELETE'!$P$7=3,โครงข่าย!G222,IF('NO DELETE'!$P$7=4,โครงข่าย!G288,โครงข่าย!G354))))</f>
        <v>8.6310000000000002</v>
      </c>
      <c r="H24" s="90">
        <f>+IF('NO DELETE'!$P$7=1,โครงข่าย!H90,IF('NO DELETE'!$P$7=2,โครงข่าย!H156,IF('NO DELETE'!$P$7=3,โครงข่าย!H222,IF('NO DELETE'!$P$7=4,โครงข่าย!H288,โครงข่าย!H354))))</f>
        <v>0</v>
      </c>
      <c r="I24" s="90">
        <f>+IF('NO DELETE'!$P$7=1,โครงข่าย!I90,IF('NO DELETE'!$P$7=2,โครงข่าย!I156,IF('NO DELETE'!$P$7=3,โครงข่าย!I222,IF('NO DELETE'!$P$7=4,โครงข่าย!I288,โครงข่าย!I354))))</f>
        <v>8.6310000000000002</v>
      </c>
      <c r="J24" s="90">
        <f>+IF('NO DELETE'!$P$7=1,โครงข่าย!J90,IF('NO DELETE'!$P$7=2,โครงข่าย!J156,IF('NO DELETE'!$P$7=3,โครงข่าย!J222,IF('NO DELETE'!$P$7=4,โครงข่าย!J288,โครงข่าย!J354))))</f>
        <v>0</v>
      </c>
      <c r="K24" s="90">
        <f>+IF('NO DELETE'!$P$7=1,โครงข่าย!K90,IF('NO DELETE'!$P$7=2,โครงข่าย!K156,IF('NO DELETE'!$P$7=3,โครงข่าย!K222,IF('NO DELETE'!$P$7=4,โครงข่าย!K288,โครงข่าย!K354))))</f>
        <v>6.7982899999999997</v>
      </c>
      <c r="L24" s="90">
        <f>+IF('NO DELETE'!$P$7=1,โครงข่าย!L90,IF('NO DELETE'!$P$7=2,โครงข่าย!L156,IF('NO DELETE'!$P$7=3,โครงข่าย!L222,IF('NO DELETE'!$P$7=4,โครงข่าย!L288,โครงข่าย!L354))))</f>
        <v>101.43288</v>
      </c>
      <c r="M24" s="90">
        <f>+IF('NO DELETE'!$P$7=1,โครงข่าย!M90,IF('NO DELETE'!$P$7=2,โครงข่าย!M156,IF('NO DELETE'!$P$7=3,โครงข่าย!M222,IF('NO DELETE'!$P$7=4,โครงข่าย!M288,โครงข่าย!M354))))</f>
        <v>6.7366999999999999</v>
      </c>
      <c r="N24" s="90">
        <f>+IF('NO DELETE'!$P$7=1,โครงข่าย!N90,IF('NO DELETE'!$P$7=2,โครงข่าย!N156,IF('NO DELETE'!$P$7=3,โครงข่าย!N222,IF('NO DELETE'!$P$7=4,โครงข่าย!N288,โครงข่าย!N354))))</f>
        <v>101.42743</v>
      </c>
    </row>
    <row r="25" spans="1:14" s="24" customFormat="1">
      <c r="A25" s="68">
        <f t="shared" si="0"/>
        <v>19</v>
      </c>
      <c r="B25" s="88" t="str">
        <f>+IF('NO DELETE'!$P$7=1,โครงข่าย!B91,IF('NO DELETE'!$P$7=2,โครงข่าย!B157,IF('NO DELETE'!$P$7=3,โครงข่าย!B223,IF('NO DELETE'!$P$7=4,โครงข่าย!B289,โครงข่าย!B355))))</f>
        <v>ปน.2026</v>
      </c>
      <c r="C25" s="90" t="str">
        <f>+IF('NO DELETE'!$P$7=1,โครงข่าย!C91,IF('NO DELETE'!$P$7=2,โครงข่าย!C157,IF('NO DELETE'!$P$7=3,โครงข่าย!C223,IF('NO DELETE'!$P$7=4,โครงข่าย!C289,โครงข่าย!C355))))</f>
        <v>แยกทางหลวงหมายเลข 42-บ้านเจาะกะพ้อ</v>
      </c>
      <c r="D25" s="90" t="str">
        <f>+IF('NO DELETE'!$P$7=1,โครงข่าย!D91,IF('NO DELETE'!$P$7=2,โครงข่าย!D157,IF('NO DELETE'!$P$7=3,โครงข่าย!D223,IF('NO DELETE'!$P$7=4,โครงข่าย!D289,โครงข่าย!D355))))</f>
        <v>-</v>
      </c>
      <c r="E25" s="88" t="str">
        <f>+IF('NO DELETE'!$P$7=1,โครงข่าย!E91,IF('NO DELETE'!$P$7=2,โครงข่าย!E157,IF('NO DELETE'!$P$7=3,โครงข่าย!E223,IF('NO DELETE'!$P$7=4,โครงข่าย!E289,โครงข่าย!E355))))</f>
        <v>สายบุรี, กะพ้อ</v>
      </c>
      <c r="F25" s="88" t="str">
        <f>+IF('NO DELETE'!$P$7=1,โครงข่าย!F91,IF('NO DELETE'!$P$7=2,โครงข่าย!F157,IF('NO DELETE'!$P$7=3,โครงข่าย!F223,IF('NO DELETE'!$P$7=4,โครงข่าย!F289,โครงข่าย!F355))))</f>
        <v>ปัตตานี</v>
      </c>
      <c r="G25" s="90">
        <f>+IF('NO DELETE'!$P$7=1,โครงข่าย!G91,IF('NO DELETE'!$P$7=2,โครงข่าย!G157,IF('NO DELETE'!$P$7=3,โครงข่าย!G223,IF('NO DELETE'!$P$7=4,โครงข่าย!G289,โครงข่าย!G355))))</f>
        <v>15.32</v>
      </c>
      <c r="H25" s="90">
        <f>+IF('NO DELETE'!$P$7=1,โครงข่าย!H91,IF('NO DELETE'!$P$7=2,โครงข่าย!H157,IF('NO DELETE'!$P$7=3,โครงข่าย!H223,IF('NO DELETE'!$P$7=4,โครงข่าย!H289,โครงข่าย!H355))))</f>
        <v>0</v>
      </c>
      <c r="I25" s="90">
        <f>+IF('NO DELETE'!$P$7=1,โครงข่าย!I91,IF('NO DELETE'!$P$7=2,โครงข่าย!I157,IF('NO DELETE'!$P$7=3,โครงข่าย!I223,IF('NO DELETE'!$P$7=4,โครงข่าย!I289,โครงข่าย!I355))))</f>
        <v>15.32</v>
      </c>
      <c r="J25" s="90">
        <f>+IF('NO DELETE'!$P$7=1,โครงข่าย!J91,IF('NO DELETE'!$P$7=2,โครงข่าย!J157,IF('NO DELETE'!$P$7=3,โครงข่าย!J223,IF('NO DELETE'!$P$7=4,โครงข่าย!J289,โครงข่าย!J355))))</f>
        <v>0</v>
      </c>
      <c r="K25" s="90">
        <f>+IF('NO DELETE'!$P$7=1,โครงข่าย!K91,IF('NO DELETE'!$P$7=2,โครงข่าย!K157,IF('NO DELETE'!$P$7=3,โครงข่าย!K223,IF('NO DELETE'!$P$7=4,โครงข่าย!K289,โครงข่าย!K355))))</f>
        <v>6.6833200000000001</v>
      </c>
      <c r="L25" s="90">
        <f>+IF('NO DELETE'!$P$7=1,โครงข่าย!L91,IF('NO DELETE'!$P$7=2,โครงข่าย!L157,IF('NO DELETE'!$P$7=3,โครงข่าย!L223,IF('NO DELETE'!$P$7=4,โครงข่าย!L289,โครงข่าย!L355))))</f>
        <v>101.57477</v>
      </c>
      <c r="M25" s="90">
        <f>+IF('NO DELETE'!$P$7=1,โครงข่าย!M91,IF('NO DELETE'!$P$7=2,โครงข่าย!M157,IF('NO DELETE'!$P$7=3,โครงข่าย!M223,IF('NO DELETE'!$P$7=4,โครงข่าย!M289,โครงข่าย!M355))))</f>
        <v>6.5605399999999996</v>
      </c>
      <c r="N25" s="90">
        <f>+IF('NO DELETE'!$P$7=1,โครงข่าย!N91,IF('NO DELETE'!$P$7=2,โครงข่าย!N157,IF('NO DELETE'!$P$7=3,โครงข่าย!N223,IF('NO DELETE'!$P$7=4,โครงข่าย!N289,โครงข่าย!N355))))</f>
        <v>101.53404</v>
      </c>
    </row>
    <row r="26" spans="1:14" s="24" customFormat="1">
      <c r="A26" s="68">
        <f t="shared" si="0"/>
        <v>20</v>
      </c>
      <c r="B26" s="88" t="str">
        <f>+IF('NO DELETE'!$P$7=1,โครงข่าย!B92,IF('NO DELETE'!$P$7=2,โครงข่าย!B158,IF('NO DELETE'!$P$7=3,โครงข่าย!B224,IF('NO DELETE'!$P$7=4,โครงข่าย!B290,โครงข่าย!B356))))</f>
        <v>ปน.4031</v>
      </c>
      <c r="C26" s="90" t="str">
        <f>+IF('NO DELETE'!$P$7=1,โครงข่าย!C92,IF('NO DELETE'!$P$7=2,โครงข่าย!C158,IF('NO DELETE'!$P$7=3,โครงข่าย!C224,IF('NO DELETE'!$P$7=4,โครงข่าย!C290,โครงข่าย!C356))))</f>
        <v>แยกทางหลวงหมายเลข 4157-บ้านปาตา</v>
      </c>
      <c r="D26" s="90" t="str">
        <f>+IF('NO DELETE'!$P$7=1,โครงข่าย!D92,IF('NO DELETE'!$P$7=2,โครงข่าย!D158,IF('NO DELETE'!$P$7=3,โครงข่าย!D224,IF('NO DELETE'!$P$7=4,โครงข่าย!D290,โครงข่าย!D356))))</f>
        <v>-</v>
      </c>
      <c r="E26" s="88" t="str">
        <f>+IF('NO DELETE'!$P$7=1,โครงข่าย!E92,IF('NO DELETE'!$P$7=2,โครงข่าย!E158,IF('NO DELETE'!$P$7=3,โครงข่าย!E224,IF('NO DELETE'!$P$7=4,โครงข่าย!E290,โครงข่าย!E356))))</f>
        <v>ปะนาเระ,ยะหริ่ง</v>
      </c>
      <c r="F26" s="88" t="str">
        <f>+IF('NO DELETE'!$P$7=1,โครงข่าย!F92,IF('NO DELETE'!$P$7=2,โครงข่าย!F158,IF('NO DELETE'!$P$7=3,โครงข่าย!F224,IF('NO DELETE'!$P$7=4,โครงข่าย!F290,โครงข่าย!F356))))</f>
        <v>ปัตตานี</v>
      </c>
      <c r="G26" s="90">
        <f>+IF('NO DELETE'!$P$7=1,โครงข่าย!G92,IF('NO DELETE'!$P$7=2,โครงข่าย!G158,IF('NO DELETE'!$P$7=3,โครงข่าย!G224,IF('NO DELETE'!$P$7=4,โครงข่าย!G290,โครงข่าย!G356))))</f>
        <v>12.965999999999999</v>
      </c>
      <c r="H26" s="90">
        <f>+IF('NO DELETE'!$P$7=1,โครงข่าย!H92,IF('NO DELETE'!$P$7=2,โครงข่าย!H158,IF('NO DELETE'!$P$7=3,โครงข่าย!H224,IF('NO DELETE'!$P$7=4,โครงข่าย!H290,โครงข่าย!H356))))</f>
        <v>0</v>
      </c>
      <c r="I26" s="90">
        <f>+IF('NO DELETE'!$P$7=1,โครงข่าย!I92,IF('NO DELETE'!$P$7=2,โครงข่าย!I158,IF('NO DELETE'!$P$7=3,โครงข่าย!I224,IF('NO DELETE'!$P$7=4,โครงข่าย!I290,โครงข่าย!I356))))</f>
        <v>12.965999999999999</v>
      </c>
      <c r="J26" s="90">
        <f>+IF('NO DELETE'!$P$7=1,โครงข่าย!J92,IF('NO DELETE'!$P$7=2,โครงข่าย!J158,IF('NO DELETE'!$P$7=3,โครงข่าย!J224,IF('NO DELETE'!$P$7=4,โครงข่าย!J290,โครงข่าย!J356))))</f>
        <v>0</v>
      </c>
      <c r="K26" s="90">
        <f>+IF('NO DELETE'!$P$7=1,โครงข่าย!K92,IF('NO DELETE'!$P$7=2,โครงข่าย!K158,IF('NO DELETE'!$P$7=3,โครงข่าย!K224,IF('NO DELETE'!$P$7=4,โครงข่าย!K290,โครงข่าย!K356))))</f>
        <v>6.8656579999999998</v>
      </c>
      <c r="L26" s="90">
        <f>+IF('NO DELETE'!$P$7=1,โครงข่าย!L92,IF('NO DELETE'!$P$7=2,โครงข่าย!L158,IF('NO DELETE'!$P$7=3,โครงข่าย!L224,IF('NO DELETE'!$P$7=4,โครงข่าย!L290,โครงข่าย!L356))))</f>
        <v>101.48154100000001</v>
      </c>
      <c r="M26" s="90">
        <f>+IF('NO DELETE'!$P$7=1,โครงข่าย!M92,IF('NO DELETE'!$P$7=2,โครงข่าย!M158,IF('NO DELETE'!$P$7=3,โครงข่าย!M224,IF('NO DELETE'!$P$7=4,โครงข่าย!M290,โครงข่าย!M356))))</f>
        <v>6.8919689999999996</v>
      </c>
      <c r="N26" s="90">
        <f>+IF('NO DELETE'!$P$7=1,โครงข่าย!N92,IF('NO DELETE'!$P$7=2,โครงข่าย!N158,IF('NO DELETE'!$P$7=3,โครงข่าย!N224,IF('NO DELETE'!$P$7=4,โครงข่าย!N290,โครงข่าย!N356))))</f>
        <v>101.378027</v>
      </c>
    </row>
    <row r="27" spans="1:14" s="24" customFormat="1">
      <c r="A27" s="68">
        <f t="shared" si="0"/>
        <v>21</v>
      </c>
      <c r="B27" s="88" t="str">
        <f>+IF('NO DELETE'!$P$7=1,โครงข่าย!B93,IF('NO DELETE'!$P$7=2,โครงข่าย!B159,IF('NO DELETE'!$P$7=3,โครงข่าย!B225,IF('NO DELETE'!$P$7=4,โครงข่าย!B291,โครงข่าย!B357))))</f>
        <v>ปน.3032</v>
      </c>
      <c r="C27" s="90" t="str">
        <f>+IF('NO DELETE'!$P$7=1,โครงข่าย!C93,IF('NO DELETE'!$P$7=2,โครงข่าย!C159,IF('NO DELETE'!$P$7=3,โครงข่าย!C225,IF('NO DELETE'!$P$7=4,โครงข่าย!C291,โครงข่าย!C357))))</f>
        <v>แยกทางหลวงหมายเลข 409 -บ้านลุตง</v>
      </c>
      <c r="D27" s="90" t="str">
        <f>+IF('NO DELETE'!$P$7=1,โครงข่าย!D93,IF('NO DELETE'!$P$7=2,โครงข่าย!D159,IF('NO DELETE'!$P$7=3,โครงข่าย!D225,IF('NO DELETE'!$P$7=4,โครงข่าย!D291,โครงข่าย!D357))))</f>
        <v>-</v>
      </c>
      <c r="E27" s="88" t="str">
        <f>+IF('NO DELETE'!$P$7=1,โครงข่าย!E93,IF('NO DELETE'!$P$7=2,โครงข่าย!E159,IF('NO DELETE'!$P$7=3,โครงข่าย!E225,IF('NO DELETE'!$P$7=4,โครงข่าย!E291,โครงข่าย!E357))))</f>
        <v>โคกโพธิ์</v>
      </c>
      <c r="F27" s="88" t="str">
        <f>+IF('NO DELETE'!$P$7=1,โครงข่าย!F93,IF('NO DELETE'!$P$7=2,โครงข่าย!F159,IF('NO DELETE'!$P$7=3,โครงข่าย!F225,IF('NO DELETE'!$P$7=4,โครงข่าย!F291,โครงข่าย!F357))))</f>
        <v>ปัตตานี</v>
      </c>
      <c r="G27" s="90">
        <f>+IF('NO DELETE'!$P$7=1,โครงข่าย!G93,IF('NO DELETE'!$P$7=2,โครงข่าย!G159,IF('NO DELETE'!$P$7=3,โครงข่าย!G225,IF('NO DELETE'!$P$7=4,โครงข่าย!G291,โครงข่าย!G357))))</f>
        <v>6.8250000000000002</v>
      </c>
      <c r="H27" s="90">
        <f>+IF('NO DELETE'!$P$7=1,โครงข่าย!H93,IF('NO DELETE'!$P$7=2,โครงข่าย!H159,IF('NO DELETE'!$P$7=3,โครงข่าย!H225,IF('NO DELETE'!$P$7=4,โครงข่าย!H291,โครงข่าย!H357))))</f>
        <v>0</v>
      </c>
      <c r="I27" s="90">
        <f>+IF('NO DELETE'!$P$7=1,โครงข่าย!I93,IF('NO DELETE'!$P$7=2,โครงข่าย!I159,IF('NO DELETE'!$P$7=3,โครงข่าย!I225,IF('NO DELETE'!$P$7=4,โครงข่าย!I291,โครงข่าย!I357))))</f>
        <v>6.8250000000000002</v>
      </c>
      <c r="J27" s="90">
        <f>+IF('NO DELETE'!$P$7=1,โครงข่าย!J93,IF('NO DELETE'!$P$7=2,โครงข่าย!J159,IF('NO DELETE'!$P$7=3,โครงข่าย!J225,IF('NO DELETE'!$P$7=4,โครงข่าย!J291,โครงข่าย!J357))))</f>
        <v>0</v>
      </c>
      <c r="K27" s="90">
        <f>+IF('NO DELETE'!$P$7=1,โครงข่าย!K93,IF('NO DELETE'!$P$7=2,โครงข่าย!K159,IF('NO DELETE'!$P$7=3,โครงข่าย!K225,IF('NO DELETE'!$P$7=4,โครงข่าย!K291,โครงข่าย!K357))))</f>
        <v>6.6516799999999998</v>
      </c>
      <c r="L27" s="90">
        <f>+IF('NO DELETE'!$P$7=1,โครงข่าย!L93,IF('NO DELETE'!$P$7=2,โครงข่าย!L159,IF('NO DELETE'!$P$7=3,โครงข่าย!L225,IF('NO DELETE'!$P$7=4,โครงข่าย!L291,โครงข่าย!L357))))</f>
        <v>101.21760999999999</v>
      </c>
      <c r="M27" s="90">
        <f>+IF('NO DELETE'!$P$7=1,โครงข่าย!M93,IF('NO DELETE'!$P$7=2,โครงข่าย!M159,IF('NO DELETE'!$P$7=3,โครงข่าย!M225,IF('NO DELETE'!$P$7=4,โครงข่าย!M291,โครงข่าย!M357))))</f>
        <v>6.66479</v>
      </c>
      <c r="N27" s="90">
        <f>+IF('NO DELETE'!$P$7=1,โครงข่าย!N93,IF('NO DELETE'!$P$7=2,โครงข่าย!N159,IF('NO DELETE'!$P$7=3,โครงข่าย!N225,IF('NO DELETE'!$P$7=4,โครงข่าย!N291,โครงข่าย!N357))))</f>
        <v>101.16477</v>
      </c>
    </row>
    <row r="28" spans="1:14" s="24" customFormat="1">
      <c r="A28" s="68">
        <f t="shared" si="0"/>
        <v>22</v>
      </c>
      <c r="B28" s="88" t="str">
        <f>+IF('NO DELETE'!$P$7=1,โครงข่าย!B94,IF('NO DELETE'!$P$7=2,โครงข่าย!B160,IF('NO DELETE'!$P$7=3,โครงข่าย!B226,IF('NO DELETE'!$P$7=4,โครงข่าย!B292,โครงข่าย!B358))))</f>
        <v>ปน.2033</v>
      </c>
      <c r="C28" s="90" t="str">
        <f>+IF('NO DELETE'!$P$7=1,โครงข่าย!C94,IF('NO DELETE'!$P$7=2,โครงข่าย!C160,IF('NO DELETE'!$P$7=3,โครงข่าย!C226,IF('NO DELETE'!$P$7=4,โครงข่าย!C292,โครงข่าย!C358))))</f>
        <v>แยกทางหลวงหมายเลข 42 -บ้านพ่อมิ่ง</v>
      </c>
      <c r="D28" s="90" t="str">
        <f>+IF('NO DELETE'!$P$7=1,โครงข่าย!D94,IF('NO DELETE'!$P$7=2,โครงข่าย!D160,IF('NO DELETE'!$P$7=3,โครงข่าย!D226,IF('NO DELETE'!$P$7=4,โครงข่าย!D292,โครงข่าย!D358))))</f>
        <v>-</v>
      </c>
      <c r="E28" s="88" t="str">
        <f>+IF('NO DELETE'!$P$7=1,โครงข่าย!E94,IF('NO DELETE'!$P$7=2,โครงข่าย!E160,IF('NO DELETE'!$P$7=3,โครงข่าย!E226,IF('NO DELETE'!$P$7=4,โครงข่าย!E292,โครงข่าย!E358))))</f>
        <v>สายบุรี, ปะนาเระ</v>
      </c>
      <c r="F28" s="88" t="str">
        <f>+IF('NO DELETE'!$P$7=1,โครงข่าย!F94,IF('NO DELETE'!$P$7=2,โครงข่าย!F160,IF('NO DELETE'!$P$7=3,โครงข่าย!F226,IF('NO DELETE'!$P$7=4,โครงข่าย!F292,โครงข่าย!F358))))</f>
        <v>ปัตตานี</v>
      </c>
      <c r="G28" s="90">
        <f>+IF('NO DELETE'!$P$7=1,โครงข่าย!G94,IF('NO DELETE'!$P$7=2,โครงข่าย!G160,IF('NO DELETE'!$P$7=3,โครงข่าย!G226,IF('NO DELETE'!$P$7=4,โครงข่าย!G292,โครงข่าย!G358))))</f>
        <v>15.016999999999999</v>
      </c>
      <c r="H28" s="90">
        <f>+IF('NO DELETE'!$P$7=1,โครงข่าย!H94,IF('NO DELETE'!$P$7=2,โครงข่าย!H160,IF('NO DELETE'!$P$7=3,โครงข่าย!H226,IF('NO DELETE'!$P$7=4,โครงข่าย!H292,โครงข่าย!H358))))</f>
        <v>0</v>
      </c>
      <c r="I28" s="90">
        <f>+IF('NO DELETE'!$P$7=1,โครงข่าย!I94,IF('NO DELETE'!$P$7=2,โครงข่าย!I160,IF('NO DELETE'!$P$7=3,โครงข่าย!I226,IF('NO DELETE'!$P$7=4,โครงข่าย!I292,โครงข่าย!I358))))</f>
        <v>15.016999999999999</v>
      </c>
      <c r="J28" s="90">
        <f>+IF('NO DELETE'!$P$7=1,โครงข่าย!J94,IF('NO DELETE'!$P$7=2,โครงข่าย!J160,IF('NO DELETE'!$P$7=3,โครงข่าย!J226,IF('NO DELETE'!$P$7=4,โครงข่าย!J292,โครงข่าย!J358))))</f>
        <v>0</v>
      </c>
      <c r="K28" s="90">
        <f>+IF('NO DELETE'!$P$7=1,โครงข่าย!K94,IF('NO DELETE'!$P$7=2,โครงข่าย!K160,IF('NO DELETE'!$P$7=3,โครงข่าย!K226,IF('NO DELETE'!$P$7=4,โครงข่าย!K292,โครงข่าย!K358))))</f>
        <v>6.6767799999999999</v>
      </c>
      <c r="L28" s="90">
        <f>+IF('NO DELETE'!$P$7=1,โครงข่าย!L94,IF('NO DELETE'!$P$7=2,โครงข่าย!L160,IF('NO DELETE'!$P$7=3,โครงข่าย!L226,IF('NO DELETE'!$P$7=4,โครงข่าย!L292,โครงข่าย!L358))))</f>
        <v>101.60495</v>
      </c>
      <c r="M28" s="90">
        <f>+IF('NO DELETE'!$P$7=1,โครงข่าย!M94,IF('NO DELETE'!$P$7=2,โครงข่าย!M160,IF('NO DELETE'!$P$7=3,โครงข่าย!M226,IF('NO DELETE'!$P$7=4,โครงข่าย!M292,โครงข่าย!M358))))</f>
        <v>6.7855299999999996</v>
      </c>
      <c r="N28" s="90">
        <f>+IF('NO DELETE'!$P$7=1,โครงข่าย!N94,IF('NO DELETE'!$P$7=2,โครงข่าย!N160,IF('NO DELETE'!$P$7=3,โครงข่าย!N226,IF('NO DELETE'!$P$7=4,โครงข่าย!N292,โครงข่าย!N358))))</f>
        <v>101.54919</v>
      </c>
    </row>
    <row r="29" spans="1:14" s="24" customFormat="1">
      <c r="A29" s="68">
        <f t="shared" si="0"/>
        <v>23</v>
      </c>
      <c r="B29" s="88" t="str">
        <f>+IF('NO DELETE'!$P$7=1,โครงข่าย!B95,IF('NO DELETE'!$P$7=2,โครงข่าย!B161,IF('NO DELETE'!$P$7=3,โครงข่าย!B227,IF('NO DELETE'!$P$7=4,โครงข่าย!B293,โครงข่าย!B359))))</f>
        <v>ปน.4039</v>
      </c>
      <c r="C29" s="90" t="str">
        <f>+IF('NO DELETE'!$P$7=1,โครงข่าย!C95,IF('NO DELETE'!$P$7=2,โครงข่าย!C161,IF('NO DELETE'!$P$7=3,โครงข่าย!C227,IF('NO DELETE'!$P$7=4,โครงข่าย!C293,โครงข่าย!C359))))</f>
        <v>แยกทางหลวงหมายเลข 4092 -บ้านแลแวะ</v>
      </c>
      <c r="D29" s="90" t="str">
        <f>+IF('NO DELETE'!$P$7=1,โครงข่าย!D95,IF('NO DELETE'!$P$7=2,โครงข่าย!D161,IF('NO DELETE'!$P$7=3,โครงข่าย!D227,IF('NO DELETE'!$P$7=4,โครงข่าย!D293,โครงข่าย!D359))))</f>
        <v>-</v>
      </c>
      <c r="E29" s="88" t="str">
        <f>+IF('NO DELETE'!$P$7=1,โครงข่าย!E95,IF('NO DELETE'!$P$7=2,โครงข่าย!E161,IF('NO DELETE'!$P$7=3,โครงข่าย!E227,IF('NO DELETE'!$P$7=4,โครงข่าย!E293,โครงข่าย!E359))))</f>
        <v>มายอ, ทุ่งยางแดง</v>
      </c>
      <c r="F29" s="88" t="str">
        <f>+IF('NO DELETE'!$P$7=1,โครงข่าย!F95,IF('NO DELETE'!$P$7=2,โครงข่าย!F161,IF('NO DELETE'!$P$7=3,โครงข่าย!F227,IF('NO DELETE'!$P$7=4,โครงข่าย!F293,โครงข่าย!F359))))</f>
        <v>ปัตตานี</v>
      </c>
      <c r="G29" s="90">
        <f>+IF('NO DELETE'!$P$7=1,โครงข่าย!G95,IF('NO DELETE'!$P$7=2,โครงข่าย!G161,IF('NO DELETE'!$P$7=3,โครงข่าย!G227,IF('NO DELETE'!$P$7=4,โครงข่าย!G293,โครงข่าย!G359))))</f>
        <v>7.2</v>
      </c>
      <c r="H29" s="90">
        <f>+IF('NO DELETE'!$P$7=1,โครงข่าย!H95,IF('NO DELETE'!$P$7=2,โครงข่าย!H161,IF('NO DELETE'!$P$7=3,โครงข่าย!H227,IF('NO DELETE'!$P$7=4,โครงข่าย!H293,โครงข่าย!H359))))</f>
        <v>0</v>
      </c>
      <c r="I29" s="90">
        <f>+IF('NO DELETE'!$P$7=1,โครงข่าย!I95,IF('NO DELETE'!$P$7=2,โครงข่าย!I161,IF('NO DELETE'!$P$7=3,โครงข่าย!I227,IF('NO DELETE'!$P$7=4,โครงข่าย!I293,โครงข่าย!I359))))</f>
        <v>7.2</v>
      </c>
      <c r="J29" s="90">
        <f>+IF('NO DELETE'!$P$7=1,โครงข่าย!J95,IF('NO DELETE'!$P$7=2,โครงข่าย!J161,IF('NO DELETE'!$P$7=3,โครงข่าย!J227,IF('NO DELETE'!$P$7=4,โครงข่าย!J293,โครงข่าย!J359))))</f>
        <v>0</v>
      </c>
      <c r="K29" s="90">
        <f>+IF('NO DELETE'!$P$7=1,โครงข่าย!K95,IF('NO DELETE'!$P$7=2,โครงข่าย!K161,IF('NO DELETE'!$P$7=3,โครงข่าย!K227,IF('NO DELETE'!$P$7=4,โครงข่าย!K293,โครงข่าย!K359))))</f>
        <v>6.64879</v>
      </c>
      <c r="L29" s="90">
        <f>+IF('NO DELETE'!$P$7=1,โครงข่าย!L95,IF('NO DELETE'!$P$7=2,โครงข่าย!L161,IF('NO DELETE'!$P$7=3,โครงข่าย!L227,IF('NO DELETE'!$P$7=4,โครงข่าย!L293,โครงข่าย!L359))))</f>
        <v>101.41744</v>
      </c>
      <c r="M29" s="90">
        <f>+IF('NO DELETE'!$P$7=1,โครงข่าย!M95,IF('NO DELETE'!$P$7=2,โครงข่าย!M161,IF('NO DELETE'!$P$7=3,โครงข่าย!M227,IF('NO DELETE'!$P$7=4,โครงข่าย!M293,โครงข่าย!M359))))</f>
        <v>6.5909199999999997</v>
      </c>
      <c r="N29" s="90">
        <f>+IF('NO DELETE'!$P$7=1,โครงข่าย!N95,IF('NO DELETE'!$P$7=2,โครงข่าย!N161,IF('NO DELETE'!$P$7=3,โครงข่าย!N227,IF('NO DELETE'!$P$7=4,โครงข่าย!N293,โครงข่าย!N359))))</f>
        <v>101.39426</v>
      </c>
    </row>
    <row r="30" spans="1:14" s="24" customFormat="1">
      <c r="A30" s="68">
        <f t="shared" si="0"/>
        <v>24</v>
      </c>
      <c r="B30" s="88" t="str">
        <f>+IF('NO DELETE'!$P$7=1,โครงข่าย!B96,IF('NO DELETE'!$P$7=2,โครงข่าย!B162,IF('NO DELETE'!$P$7=3,โครงข่าย!B228,IF('NO DELETE'!$P$7=4,โครงข่าย!B294,โครงข่าย!B360))))</f>
        <v>ปน.2043</v>
      </c>
      <c r="C30" s="90" t="str">
        <f>+IF('NO DELETE'!$P$7=1,โครงข่าย!C96,IF('NO DELETE'!$P$7=2,โครงข่าย!C162,IF('NO DELETE'!$P$7=3,โครงข่าย!C228,IF('NO DELETE'!$P$7=4,โครงข่าย!C294,โครงข่าย!C360))))</f>
        <v>แยกทางหลวงหมายเลข 42 - บ้านปาแด</v>
      </c>
      <c r="D30" s="90" t="str">
        <f>+IF('NO DELETE'!$P$7=1,โครงข่าย!D96,IF('NO DELETE'!$P$7=2,โครงข่าย!D162,IF('NO DELETE'!$P$7=3,โครงข่าย!D228,IF('NO DELETE'!$P$7=4,โครงข่าย!D294,โครงข่าย!D360))))</f>
        <v>-</v>
      </c>
      <c r="E30" s="88" t="str">
        <f>+IF('NO DELETE'!$P$7=1,โครงข่าย!E96,IF('NO DELETE'!$P$7=2,โครงข่าย!E162,IF('NO DELETE'!$P$7=3,โครงข่าย!E228,IF('NO DELETE'!$P$7=4,โครงข่าย!E294,โครงข่าย!E360))))</f>
        <v>โคกโพธิ์, หนองจิก</v>
      </c>
      <c r="F30" s="88" t="str">
        <f>+IF('NO DELETE'!$P$7=1,โครงข่าย!F96,IF('NO DELETE'!$P$7=2,โครงข่าย!F162,IF('NO DELETE'!$P$7=3,โครงข่าย!F228,IF('NO DELETE'!$P$7=4,โครงข่าย!F294,โครงข่าย!F360))))</f>
        <v>ปัตตานี</v>
      </c>
      <c r="G30" s="90">
        <f>+IF('NO DELETE'!$P$7=1,โครงข่าย!G96,IF('NO DELETE'!$P$7=2,โครงข่าย!G162,IF('NO DELETE'!$P$7=3,โครงข่าย!G228,IF('NO DELETE'!$P$7=4,โครงข่าย!G294,โครงข่าย!G360))))</f>
        <v>14.696999999999999</v>
      </c>
      <c r="H30" s="90">
        <f>+IF('NO DELETE'!$P$7=1,โครงข่าย!H96,IF('NO DELETE'!$P$7=2,โครงข่าย!H162,IF('NO DELETE'!$P$7=3,โครงข่าย!H228,IF('NO DELETE'!$P$7=4,โครงข่าย!H294,โครงข่าย!H360))))</f>
        <v>0</v>
      </c>
      <c r="I30" s="90">
        <f>+IF('NO DELETE'!$P$7=1,โครงข่าย!I96,IF('NO DELETE'!$P$7=2,โครงข่าย!I162,IF('NO DELETE'!$P$7=3,โครงข่าย!I228,IF('NO DELETE'!$P$7=4,โครงข่าย!I294,โครงข่าย!I360))))</f>
        <v>14.696999999999999</v>
      </c>
      <c r="J30" s="90">
        <f>+IF('NO DELETE'!$P$7=1,โครงข่าย!J96,IF('NO DELETE'!$P$7=2,โครงข่าย!J162,IF('NO DELETE'!$P$7=3,โครงข่าย!J228,IF('NO DELETE'!$P$7=4,โครงข่าย!J294,โครงข่าย!J360))))</f>
        <v>0</v>
      </c>
      <c r="K30" s="90">
        <f>+IF('NO DELETE'!$P$7=1,โครงข่าย!K96,IF('NO DELETE'!$P$7=2,โครงข่าย!K162,IF('NO DELETE'!$P$7=3,โครงข่าย!K228,IF('NO DELETE'!$P$7=4,โครงข่าย!K294,โครงข่าย!K360))))</f>
        <v>6.7284769999999998</v>
      </c>
      <c r="L30" s="90">
        <f>+IF('NO DELETE'!$P$7=1,โครงข่าย!L96,IF('NO DELETE'!$P$7=2,โครงข่าย!L162,IF('NO DELETE'!$P$7=3,โครงข่าย!L228,IF('NO DELETE'!$P$7=4,โครงข่าย!L294,โครงข่าย!L360))))</f>
        <v>101.03744399999999</v>
      </c>
      <c r="M30" s="90">
        <f>+IF('NO DELETE'!$P$7=1,โครงข่าย!M96,IF('NO DELETE'!$P$7=2,โครงข่าย!M162,IF('NO DELETE'!$P$7=3,โครงข่าย!M228,IF('NO DELETE'!$P$7=4,โครงข่าย!M294,โครงข่าย!M360))))</f>
        <v>6.826441</v>
      </c>
      <c r="N30" s="90">
        <f>+IF('NO DELETE'!$P$7=1,โครงข่าย!N96,IF('NO DELETE'!$P$7=2,โครงข่าย!N162,IF('NO DELETE'!$P$7=3,โครงข่าย!N228,IF('NO DELETE'!$P$7=4,โครงข่าย!N294,โครงข่าย!N360))))</f>
        <v>101.048177</v>
      </c>
    </row>
    <row r="31" spans="1:14" s="24" customFormat="1">
      <c r="A31" s="68">
        <f t="shared" si="0"/>
        <v>25</v>
      </c>
      <c r="B31" s="88" t="str">
        <f>+IF('NO DELETE'!$P$7=1,โครงข่าย!B97,IF('NO DELETE'!$P$7=2,โครงข่าย!B163,IF('NO DELETE'!$P$7=3,โครงข่าย!B229,IF('NO DELETE'!$P$7=4,โครงข่าย!B295,โครงข่าย!B361))))</f>
        <v>ปน.2044</v>
      </c>
      <c r="C31" s="90" t="str">
        <f>+IF('NO DELETE'!$P$7=1,โครงข่าย!C97,IF('NO DELETE'!$P$7=2,โครงข่าย!C163,IF('NO DELETE'!$P$7=3,โครงข่าย!C229,IF('NO DELETE'!$P$7=4,โครงข่าย!C295,โครงข่าย!C361))))</f>
        <v>แยกทางหลวงหมายเลข 42 - บ้านกาเยาะมาตี</v>
      </c>
      <c r="D31" s="90" t="str">
        <f>+IF('NO DELETE'!$P$7=1,โครงข่าย!D97,IF('NO DELETE'!$P$7=2,โครงข่าย!D163,IF('NO DELETE'!$P$7=3,โครงข่าย!D229,IF('NO DELETE'!$P$7=4,โครงข่าย!D295,โครงข่าย!D361))))</f>
        <v>-</v>
      </c>
      <c r="E31" s="88" t="str">
        <f>+IF('NO DELETE'!$P$7=1,โครงข่าย!E97,IF('NO DELETE'!$P$7=2,โครงข่าย!E163,IF('NO DELETE'!$P$7=3,โครงข่าย!E229,IF('NO DELETE'!$P$7=4,โครงข่าย!E295,โครงข่าย!E361))))</f>
        <v>สายบุรี</v>
      </c>
      <c r="F31" s="88" t="str">
        <f>+IF('NO DELETE'!$P$7=1,โครงข่าย!F97,IF('NO DELETE'!$P$7=2,โครงข่าย!F163,IF('NO DELETE'!$P$7=3,โครงข่าย!F229,IF('NO DELETE'!$P$7=4,โครงข่าย!F295,โครงข่าย!F361))))</f>
        <v>ปัตตานี</v>
      </c>
      <c r="G31" s="90">
        <f>+IF('NO DELETE'!$P$7=1,โครงข่าย!G97,IF('NO DELETE'!$P$7=2,โครงข่าย!G163,IF('NO DELETE'!$P$7=3,โครงข่าย!G229,IF('NO DELETE'!$P$7=4,โครงข่าย!G295,โครงข่าย!G361))))</f>
        <v>9.1359999999999992</v>
      </c>
      <c r="H31" s="90">
        <f>+IF('NO DELETE'!$P$7=1,โครงข่าย!H97,IF('NO DELETE'!$P$7=2,โครงข่าย!H163,IF('NO DELETE'!$P$7=3,โครงข่าย!H229,IF('NO DELETE'!$P$7=4,โครงข่าย!H295,โครงข่าย!H361))))</f>
        <v>0</v>
      </c>
      <c r="I31" s="90">
        <f>+IF('NO DELETE'!$P$7=1,โครงข่าย!I97,IF('NO DELETE'!$P$7=2,โครงข่าย!I163,IF('NO DELETE'!$P$7=3,โครงข่าย!I229,IF('NO DELETE'!$P$7=4,โครงข่าย!I295,โครงข่าย!I361))))</f>
        <v>9.1359999999999992</v>
      </c>
      <c r="J31" s="90">
        <f>+IF('NO DELETE'!$P$7=1,โครงข่าย!J97,IF('NO DELETE'!$P$7=2,โครงข่าย!J163,IF('NO DELETE'!$P$7=3,โครงข่าย!J229,IF('NO DELETE'!$P$7=4,โครงข่าย!J295,โครงข่าย!J361))))</f>
        <v>0</v>
      </c>
      <c r="K31" s="90">
        <f>+IF('NO DELETE'!$P$7=1,โครงข่าย!K97,IF('NO DELETE'!$P$7=2,โครงข่าย!K163,IF('NO DELETE'!$P$7=3,โครงข่าย!K229,IF('NO DELETE'!$P$7=4,โครงข่าย!K295,โครงข่าย!K361))))</f>
        <v>6.6354199999999999</v>
      </c>
      <c r="L31" s="90">
        <f>+IF('NO DELETE'!$P$7=1,โครงข่าย!L97,IF('NO DELETE'!$P$7=2,โครงข่าย!L163,IF('NO DELETE'!$P$7=3,โครงข่าย!L229,IF('NO DELETE'!$P$7=4,โครงข่าย!L295,โครงข่าย!L361))))</f>
        <v>101.62914000000001</v>
      </c>
      <c r="M31" s="90">
        <f>+IF('NO DELETE'!$P$7=1,โครงข่าย!M97,IF('NO DELETE'!$P$7=2,โครงข่าย!M163,IF('NO DELETE'!$P$7=3,โครงข่าย!M229,IF('NO DELETE'!$P$7=4,โครงข่าย!M295,โครงข่าย!M361))))</f>
        <v>6.6773600000000002</v>
      </c>
      <c r="N31" s="90">
        <f>+IF('NO DELETE'!$P$7=1,โครงข่าย!N97,IF('NO DELETE'!$P$7=2,โครงข่าย!N163,IF('NO DELETE'!$P$7=3,โครงข่าย!N229,IF('NO DELETE'!$P$7=4,โครงข่าย!N295,โครงข่าย!N361))))</f>
        <v>101.57178</v>
      </c>
    </row>
    <row r="32" spans="1:14" s="24" customFormat="1">
      <c r="A32" s="68">
        <f t="shared" si="0"/>
        <v>26</v>
      </c>
      <c r="B32" s="88" t="str">
        <f>+IF('NO DELETE'!$P$7=1,โครงข่าย!B98,IF('NO DELETE'!$P$7=2,โครงข่าย!B164,IF('NO DELETE'!$P$7=3,โครงข่าย!B230,IF('NO DELETE'!$P$7=4,โครงข่าย!B296,โครงข่าย!B362))))</f>
        <v>ปน.2045</v>
      </c>
      <c r="C32" s="90" t="str">
        <f>+IF('NO DELETE'!$P$7=1,โครงข่าย!C98,IF('NO DELETE'!$P$7=2,โครงข่าย!C164,IF('NO DELETE'!$P$7=3,โครงข่าย!C230,IF('NO DELETE'!$P$7=4,โครงข่าย!C296,โครงข่าย!C362))))</f>
        <v>แยกทางหลวงหมายเลข 42 - บ้านมูหลง</v>
      </c>
      <c r="D32" s="90" t="str">
        <f>+IF('NO DELETE'!$P$7=1,โครงข่าย!D98,IF('NO DELETE'!$P$7=2,โครงข่าย!D164,IF('NO DELETE'!$P$7=3,โครงข่าย!D230,IF('NO DELETE'!$P$7=4,โครงข่าย!D296,โครงข่าย!D362))))</f>
        <v>-</v>
      </c>
      <c r="E32" s="88" t="str">
        <f>+IF('NO DELETE'!$P$7=1,โครงข่าย!E98,IF('NO DELETE'!$P$7=2,โครงข่าย!E164,IF('NO DELETE'!$P$7=3,โครงข่าย!E230,IF('NO DELETE'!$P$7=4,โครงข่าย!E296,โครงข่าย!E362))))</f>
        <v>ยะหริ่ง</v>
      </c>
      <c r="F32" s="88" t="str">
        <f>+IF('NO DELETE'!$P$7=1,โครงข่าย!F98,IF('NO DELETE'!$P$7=2,โครงข่าย!F164,IF('NO DELETE'!$P$7=3,โครงข่าย!F230,IF('NO DELETE'!$P$7=4,โครงข่าย!F296,โครงข่าย!F362))))</f>
        <v>ปัตตานี</v>
      </c>
      <c r="G32" s="90">
        <f>+IF('NO DELETE'!$P$7=1,โครงข่าย!G98,IF('NO DELETE'!$P$7=2,โครงข่าย!G164,IF('NO DELETE'!$P$7=3,โครงข่าย!G230,IF('NO DELETE'!$P$7=4,โครงข่าย!G296,โครงข่าย!G362))))</f>
        <v>4.4020000000000001</v>
      </c>
      <c r="H32" s="90">
        <f>+IF('NO DELETE'!$P$7=1,โครงข่าย!H98,IF('NO DELETE'!$P$7=2,โครงข่าย!H164,IF('NO DELETE'!$P$7=3,โครงข่าย!H230,IF('NO DELETE'!$P$7=4,โครงข่าย!H296,โครงข่าย!H362))))</f>
        <v>0</v>
      </c>
      <c r="I32" s="90">
        <f>+IF('NO DELETE'!$P$7=1,โครงข่าย!I98,IF('NO DELETE'!$P$7=2,โครงข่าย!I164,IF('NO DELETE'!$P$7=3,โครงข่าย!I230,IF('NO DELETE'!$P$7=4,โครงข่าย!I296,โครงข่าย!I362))))</f>
        <v>4.4020000000000001</v>
      </c>
      <c r="J32" s="90">
        <f>+IF('NO DELETE'!$P$7=1,โครงข่าย!J98,IF('NO DELETE'!$P$7=2,โครงข่าย!J164,IF('NO DELETE'!$P$7=3,โครงข่าย!J230,IF('NO DELETE'!$P$7=4,โครงข่าย!J296,โครงข่าย!J362))))</f>
        <v>0</v>
      </c>
      <c r="K32" s="90">
        <f>+IF('NO DELETE'!$P$7=1,โครงข่าย!K98,IF('NO DELETE'!$P$7=2,โครงข่าย!K164,IF('NO DELETE'!$P$7=3,โครงข่าย!K230,IF('NO DELETE'!$P$7=4,โครงข่าย!K296,โครงข่าย!K362))))</f>
        <v>6.8337500000000002</v>
      </c>
      <c r="L32" s="90">
        <f>+IF('NO DELETE'!$P$7=1,โครงข่าย!L98,IF('NO DELETE'!$P$7=2,โครงข่าย!L164,IF('NO DELETE'!$P$7=3,โครงข่าย!L230,IF('NO DELETE'!$P$7=4,โครงข่าย!L296,โครงข่าย!L362))))</f>
        <v>101.386633</v>
      </c>
      <c r="M32" s="90">
        <f>+IF('NO DELETE'!$P$7=1,โครงข่าย!M98,IF('NO DELETE'!$P$7=2,โครงข่าย!M164,IF('NO DELETE'!$P$7=3,โครงข่าย!M230,IF('NO DELETE'!$P$7=4,โครงข่าย!M296,โครงข่าย!M362))))</f>
        <v>6.8306079999999998</v>
      </c>
      <c r="N32" s="90">
        <f>+IF('NO DELETE'!$P$7=1,โครงข่าย!N98,IF('NO DELETE'!$P$7=2,โครงข่าย!N164,IF('NO DELETE'!$P$7=3,โครงข่าย!N230,IF('NO DELETE'!$P$7=4,โครงข่าย!N296,โครงข่าย!N362))))</f>
        <v>101.350888</v>
      </c>
    </row>
    <row r="33" spans="1:14" s="24" customFormat="1">
      <c r="A33" s="68">
        <f t="shared" si="0"/>
        <v>27</v>
      </c>
      <c r="B33" s="88" t="str">
        <f>+IF('NO DELETE'!$P$7=1,โครงข่าย!B99,IF('NO DELETE'!$P$7=2,โครงข่าย!B165,IF('NO DELETE'!$P$7=3,โครงข่าย!B231,IF('NO DELETE'!$P$7=4,โครงข่าย!B297,โครงข่าย!B363))))</f>
        <v>ปน.5049</v>
      </c>
      <c r="C33" s="90" t="str">
        <f>+IF('NO DELETE'!$P$7=1,โครงข่าย!C99,IF('NO DELETE'!$P$7=2,โครงข่าย!C165,IF('NO DELETE'!$P$7=3,โครงข่าย!C231,IF('NO DELETE'!$P$7=4,โครงข่าย!C297,โครงข่าย!C363))))</f>
        <v>สายบ้านนิคมโคกโพธิ์ - พุทธนิมิตร</v>
      </c>
      <c r="D33" s="90" t="str">
        <f>+IF('NO DELETE'!$P$7=1,โครงข่าย!D99,IF('NO DELETE'!$P$7=2,โครงข่าย!D165,IF('NO DELETE'!$P$7=3,โครงข่าย!D231,IF('NO DELETE'!$P$7=4,โครงข่าย!D297,โครงข่าย!D363))))</f>
        <v>-</v>
      </c>
      <c r="E33" s="88" t="str">
        <f>+IF('NO DELETE'!$P$7=1,โครงข่าย!E99,IF('NO DELETE'!$P$7=2,โครงข่าย!E165,IF('NO DELETE'!$P$7=3,โครงข่าย!E231,IF('NO DELETE'!$P$7=4,โครงข่าย!E297,โครงข่าย!E363))))</f>
        <v>โคกโพธิ์</v>
      </c>
      <c r="F33" s="88" t="str">
        <f>+IF('NO DELETE'!$P$7=1,โครงข่าย!F99,IF('NO DELETE'!$P$7=2,โครงข่าย!F165,IF('NO DELETE'!$P$7=3,โครงข่าย!F231,IF('NO DELETE'!$P$7=4,โครงข่าย!F297,โครงข่าย!F363))))</f>
        <v>ปัตตานี</v>
      </c>
      <c r="G33" s="90">
        <f>+IF('NO DELETE'!$P$7=1,โครงข่าย!G99,IF('NO DELETE'!$P$7=2,โครงข่าย!G165,IF('NO DELETE'!$P$7=3,โครงข่าย!G231,IF('NO DELETE'!$P$7=4,โครงข่าย!G297,โครงข่าย!G363))))</f>
        <v>3.1949999999999998</v>
      </c>
      <c r="H33" s="90">
        <f>+IF('NO DELETE'!$P$7=1,โครงข่าย!H99,IF('NO DELETE'!$P$7=2,โครงข่าย!H165,IF('NO DELETE'!$P$7=3,โครงข่าย!H231,IF('NO DELETE'!$P$7=4,โครงข่าย!H297,โครงข่าย!H363))))</f>
        <v>0</v>
      </c>
      <c r="I33" s="90">
        <f>+IF('NO DELETE'!$P$7=1,โครงข่าย!I99,IF('NO DELETE'!$P$7=2,โครงข่าย!I165,IF('NO DELETE'!$P$7=3,โครงข่าย!I231,IF('NO DELETE'!$P$7=4,โครงข่าย!I297,โครงข่าย!I363))))</f>
        <v>3.1949999999999998</v>
      </c>
      <c r="J33" s="90">
        <f>+IF('NO DELETE'!$P$7=1,โครงข่าย!J99,IF('NO DELETE'!$P$7=2,โครงข่าย!J165,IF('NO DELETE'!$P$7=3,โครงข่าย!J231,IF('NO DELETE'!$P$7=4,โครงข่าย!J297,โครงข่าย!J363))))</f>
        <v>0</v>
      </c>
      <c r="K33" s="90">
        <f>+IF('NO DELETE'!$P$7=1,โครงข่าย!K99,IF('NO DELETE'!$P$7=2,โครงข่าย!K165,IF('NO DELETE'!$P$7=3,โครงข่าย!K231,IF('NO DELETE'!$P$7=4,โครงข่าย!K297,โครงข่าย!K363))))</f>
        <v>6.7572749999999999</v>
      </c>
      <c r="L33" s="90">
        <f>+IF('NO DELETE'!$P$7=1,โครงข่าย!L99,IF('NO DELETE'!$P$7=2,โครงข่าย!L165,IF('NO DELETE'!$P$7=3,โครงข่าย!L231,IF('NO DELETE'!$P$7=4,โครงข่าย!L297,โครงข่าย!L363))))</f>
        <v>101.04813</v>
      </c>
      <c r="M33" s="90">
        <f>+IF('NO DELETE'!$P$7=1,โครงข่าย!M99,IF('NO DELETE'!$P$7=2,โครงข่าย!M165,IF('NO DELETE'!$P$7=3,โครงข่าย!M231,IF('NO DELETE'!$P$7=4,โครงข่าย!M297,โครงข่าย!M363))))</f>
        <v>6.7585519999999999</v>
      </c>
      <c r="N33" s="90">
        <f>+IF('NO DELETE'!$P$7=1,โครงข่าย!N99,IF('NO DELETE'!$P$7=2,โครงข่าย!N165,IF('NO DELETE'!$P$7=3,โครงข่าย!N231,IF('NO DELETE'!$P$7=4,โครงข่าย!N297,โครงข่าย!N363))))</f>
        <v>101.02133000000001</v>
      </c>
    </row>
    <row r="34" spans="1:14" s="24" customFormat="1">
      <c r="A34" s="68">
        <f t="shared" si="0"/>
        <v>28</v>
      </c>
      <c r="B34" s="88" t="str">
        <f>+IF('NO DELETE'!$P$7=1,โครงข่าย!B100,IF('NO DELETE'!$P$7=2,โครงข่าย!B166,IF('NO DELETE'!$P$7=3,โครงข่าย!B232,IF('NO DELETE'!$P$7=4,โครงข่าย!B298,โครงข่าย!B364))))</f>
        <v>ปน.5053</v>
      </c>
      <c r="C34" s="90" t="str">
        <f>+IF('NO DELETE'!$P$7=1,โครงข่าย!C100,IF('NO DELETE'!$P$7=2,โครงข่าย!C166,IF('NO DELETE'!$P$7=3,โครงข่าย!C232,IF('NO DELETE'!$P$7=4,โครงข่าย!C298,โครงข่าย!C364))))</f>
        <v>บ้านปากน้ำ - สวนสมเด็จฯ</v>
      </c>
      <c r="D34" s="90" t="str">
        <f>+IF('NO DELETE'!$P$7=1,โครงข่าย!D100,IF('NO DELETE'!$P$7=2,โครงข่าย!D166,IF('NO DELETE'!$P$7=3,โครงข่าย!D232,IF('NO DELETE'!$P$7=4,โครงข่าย!D298,โครงข่าย!D364))))</f>
        <v>-</v>
      </c>
      <c r="E34" s="88" t="str">
        <f>+IF('NO DELETE'!$P$7=1,โครงข่าย!E100,IF('NO DELETE'!$P$7=2,โครงข่าย!E166,IF('NO DELETE'!$P$7=3,โครงข่าย!E232,IF('NO DELETE'!$P$7=4,โครงข่าย!E298,โครงข่าย!E364))))</f>
        <v>เมือง</v>
      </c>
      <c r="F34" s="88" t="str">
        <f>+IF('NO DELETE'!$P$7=1,โครงข่าย!F100,IF('NO DELETE'!$P$7=2,โครงข่าย!F166,IF('NO DELETE'!$P$7=3,โครงข่าย!F232,IF('NO DELETE'!$P$7=4,โครงข่าย!F298,โครงข่าย!F364))))</f>
        <v>ปัตตานี</v>
      </c>
      <c r="G34" s="90">
        <f>+IF('NO DELETE'!$P$7=1,โครงข่าย!G100,IF('NO DELETE'!$P$7=2,โครงข่าย!G166,IF('NO DELETE'!$P$7=3,โครงข่าย!G232,IF('NO DELETE'!$P$7=4,โครงข่าย!G298,โครงข่าย!G364))))</f>
        <v>4.242</v>
      </c>
      <c r="H34" s="90">
        <f>+IF('NO DELETE'!$P$7=1,โครงข่าย!H100,IF('NO DELETE'!$P$7=2,โครงข่าย!H166,IF('NO DELETE'!$P$7=3,โครงข่าย!H232,IF('NO DELETE'!$P$7=4,โครงข่าย!H298,โครงข่าย!H364))))</f>
        <v>0</v>
      </c>
      <c r="I34" s="90">
        <f>+IF('NO DELETE'!$P$7=1,โครงข่าย!I100,IF('NO DELETE'!$P$7=2,โครงข่าย!I166,IF('NO DELETE'!$P$7=3,โครงข่าย!I232,IF('NO DELETE'!$P$7=4,โครงข่าย!I298,โครงข่าย!I364))))</f>
        <v>4.242</v>
      </c>
      <c r="J34" s="90">
        <f>+IF('NO DELETE'!$P$7=1,โครงข่าย!J100,IF('NO DELETE'!$P$7=2,โครงข่าย!J166,IF('NO DELETE'!$P$7=3,โครงข่าย!J232,IF('NO DELETE'!$P$7=4,โครงข่าย!J298,โครงข่าย!J364))))</f>
        <v>0</v>
      </c>
      <c r="K34" s="90">
        <f>+IF('NO DELETE'!$P$7=1,โครงข่าย!K100,IF('NO DELETE'!$P$7=2,โครงข่าย!K166,IF('NO DELETE'!$P$7=3,โครงข่าย!K232,IF('NO DELETE'!$P$7=4,โครงข่าย!K298,โครงข่าย!K364))))</f>
        <v>6.8863000000000003</v>
      </c>
      <c r="L34" s="90">
        <f>+IF('NO DELETE'!$P$7=1,โครงข่าย!L100,IF('NO DELETE'!$P$7=2,โครงข่าย!L166,IF('NO DELETE'!$P$7=3,โครงข่าย!L232,IF('NO DELETE'!$P$7=4,โครงข่าย!L298,โครงข่าย!L364))))</f>
        <v>101.255483</v>
      </c>
      <c r="M34" s="90">
        <f>+IF('NO DELETE'!$P$7=1,โครงข่าย!M100,IF('NO DELETE'!$P$7=2,โครงข่าย!M166,IF('NO DELETE'!$P$7=3,โครงข่าย!M232,IF('NO DELETE'!$P$7=4,โครงข่าย!M298,โครงข่าย!M364))))</f>
        <v>6.8919129999999997</v>
      </c>
      <c r="N34" s="90">
        <f>+IF('NO DELETE'!$P$7=1,โครงข่าย!N100,IF('NO DELETE'!$P$7=2,โครงข่าย!N166,IF('NO DELETE'!$P$7=3,โครงข่าย!N232,IF('NO DELETE'!$P$7=4,โครงข่าย!N298,โครงข่าย!N364))))</f>
        <v>101.241713</v>
      </c>
    </row>
    <row r="35" spans="1:14" s="24" customFormat="1">
      <c r="A35" s="68">
        <f t="shared" si="0"/>
        <v>29</v>
      </c>
      <c r="B35" s="88" t="str">
        <f>+IF('NO DELETE'!$P$7=1,โครงข่าย!B101,IF('NO DELETE'!$P$7=2,โครงข่าย!B167,IF('NO DELETE'!$P$7=3,โครงข่าย!B233,IF('NO DELETE'!$P$7=4,โครงข่าย!B299,โครงข่าย!B365))))</f>
        <v>ปน.3054</v>
      </c>
      <c r="C35" s="90" t="str">
        <f>+IF('NO DELETE'!$P$7=1,โครงข่าย!C101,IF('NO DELETE'!$P$7=2,โครงข่าย!C167,IF('NO DELETE'!$P$7=3,โครงข่าย!C233,IF('NO DELETE'!$P$7=4,โครงข่าย!C299,โครงข่าย!C365))))</f>
        <v>แยกทางหลวงหมายเลข 410 - บ้านแลแวะ</v>
      </c>
      <c r="D35" s="90" t="str">
        <f>+IF('NO DELETE'!$P$7=1,โครงข่าย!D101,IF('NO DELETE'!$P$7=2,โครงข่าย!D167,IF('NO DELETE'!$P$7=3,โครงข่าย!D233,IF('NO DELETE'!$P$7=4,โครงข่าย!D299,โครงข่าย!D365))))</f>
        <v>-</v>
      </c>
      <c r="E35" s="88" t="str">
        <f>+IF('NO DELETE'!$P$7=1,โครงข่าย!E101,IF('NO DELETE'!$P$7=2,โครงข่าย!E167,IF('NO DELETE'!$P$7=3,โครงข่าย!E233,IF('NO DELETE'!$P$7=4,โครงข่าย!E299,โครงข่าย!E365))))</f>
        <v>ยะรัง,ทุ่งยางแดง</v>
      </c>
      <c r="F35" s="88" t="str">
        <f>+IF('NO DELETE'!$P$7=1,โครงข่าย!F101,IF('NO DELETE'!$P$7=2,โครงข่าย!F167,IF('NO DELETE'!$P$7=3,โครงข่าย!F233,IF('NO DELETE'!$P$7=4,โครงข่าย!F299,โครงข่าย!F365))))</f>
        <v>ปัตตานี</v>
      </c>
      <c r="G35" s="90">
        <f>+IF('NO DELETE'!$P$7=1,โครงข่าย!G101,IF('NO DELETE'!$P$7=2,โครงข่าย!G167,IF('NO DELETE'!$P$7=3,โครงข่าย!G233,IF('NO DELETE'!$P$7=4,โครงข่าย!G299,โครงข่าย!G365))))</f>
        <v>12.086</v>
      </c>
      <c r="H35" s="90">
        <f>+IF('NO DELETE'!$P$7=1,โครงข่าย!H101,IF('NO DELETE'!$P$7=2,โครงข่าย!H167,IF('NO DELETE'!$P$7=3,โครงข่าย!H233,IF('NO DELETE'!$P$7=4,โครงข่าย!H299,โครงข่าย!H365))))</f>
        <v>0</v>
      </c>
      <c r="I35" s="90">
        <f>+IF('NO DELETE'!$P$7=1,โครงข่าย!I101,IF('NO DELETE'!$P$7=2,โครงข่าย!I167,IF('NO DELETE'!$P$7=3,โครงข่าย!I233,IF('NO DELETE'!$P$7=4,โครงข่าย!I299,โครงข่าย!I365))))</f>
        <v>12.086</v>
      </c>
      <c r="J35" s="90">
        <f>+IF('NO DELETE'!$P$7=1,โครงข่าย!J101,IF('NO DELETE'!$P$7=2,โครงข่าย!J167,IF('NO DELETE'!$P$7=3,โครงข่าย!J233,IF('NO DELETE'!$P$7=4,โครงข่าย!J299,โครงข่าย!J365))))</f>
        <v>0</v>
      </c>
      <c r="K35" s="90">
        <f>+IF('NO DELETE'!$P$7=1,โครงข่าย!K101,IF('NO DELETE'!$P$7=2,โครงข่าย!K167,IF('NO DELETE'!$P$7=3,โครงข่าย!K233,IF('NO DELETE'!$P$7=4,โครงข่าย!K299,โครงข่าย!K365))))</f>
        <v>6.6182699999999999</v>
      </c>
      <c r="L35" s="90">
        <f>+IF('NO DELETE'!$P$7=1,โครงข่าย!L101,IF('NO DELETE'!$P$7=2,โครงข่าย!L167,IF('NO DELETE'!$P$7=3,โครงข่าย!L233,IF('NO DELETE'!$P$7=4,โครงข่าย!L299,โครงข่าย!L365))))</f>
        <v>101.30595</v>
      </c>
      <c r="M35" s="90">
        <f>+IF('NO DELETE'!$P$7=1,โครงข่าย!M101,IF('NO DELETE'!$P$7=2,โครงข่าย!M167,IF('NO DELETE'!$P$7=3,โครงข่าย!M233,IF('NO DELETE'!$P$7=4,โครงข่าย!M299,โครงข่าย!M365))))</f>
        <v>6.5793400000000002</v>
      </c>
      <c r="N35" s="90">
        <f>+IF('NO DELETE'!$P$7=1,โครงข่าย!N101,IF('NO DELETE'!$P$7=2,โครงข่าย!N167,IF('NO DELETE'!$P$7=3,โครงข่าย!N233,IF('NO DELETE'!$P$7=4,โครงข่าย!N299,โครงข่าย!N365))))</f>
        <v>101.38923</v>
      </c>
    </row>
    <row r="36" spans="1:14" s="24" customFormat="1">
      <c r="A36" s="68">
        <f t="shared" si="0"/>
        <v>30</v>
      </c>
      <c r="B36" s="88" t="str">
        <f>+IF('NO DELETE'!$P$7=1,โครงข่าย!B102,IF('NO DELETE'!$P$7=2,โครงข่าย!B168,IF('NO DELETE'!$P$7=3,โครงข่าย!B234,IF('NO DELETE'!$P$7=4,โครงข่าย!B300,โครงข่าย!B366))))</f>
        <v>ปน.5056</v>
      </c>
      <c r="C36" s="90" t="str">
        <f>+IF('NO DELETE'!$P$7=1,โครงข่าย!C102,IF('NO DELETE'!$P$7=2,โครงข่าย!C168,IF('NO DELETE'!$P$7=3,โครงข่าย!C234,IF('NO DELETE'!$P$7=4,โครงข่าย!C300,โครงข่าย!C366))))</f>
        <v>บ้านคูระ - บ้านน้ำดำ</v>
      </c>
      <c r="D36" s="90" t="str">
        <f>+IF('NO DELETE'!$P$7=1,โครงข่าย!D102,IF('NO DELETE'!$P$7=2,โครงข่าย!D168,IF('NO DELETE'!$P$7=3,โครงข่าย!D234,IF('NO DELETE'!$P$7=4,โครงข่าย!D300,โครงข่าย!D366))))</f>
        <v>-</v>
      </c>
      <c r="E36" s="88" t="str">
        <f>+IF('NO DELETE'!$P$7=1,โครงข่าย!E102,IF('NO DELETE'!$P$7=2,โครงข่าย!E168,IF('NO DELETE'!$P$7=3,โครงข่าย!E234,IF('NO DELETE'!$P$7=4,โครงข่าย!E300,โครงข่าย!E366))))</f>
        <v>แม่ลาน,หนองจิก</v>
      </c>
      <c r="F36" s="88" t="str">
        <f>+IF('NO DELETE'!$P$7=1,โครงข่าย!F102,IF('NO DELETE'!$P$7=2,โครงข่าย!F168,IF('NO DELETE'!$P$7=3,โครงข่าย!F234,IF('NO DELETE'!$P$7=4,โครงข่าย!F300,โครงข่าย!F366))))</f>
        <v>ปัตตานี</v>
      </c>
      <c r="G36" s="90">
        <f>+IF('NO DELETE'!$P$7=1,โครงข่าย!G102,IF('NO DELETE'!$P$7=2,โครงข่าย!G168,IF('NO DELETE'!$P$7=3,โครงข่าย!G234,IF('NO DELETE'!$P$7=4,โครงข่าย!G300,โครงข่าย!G366))))</f>
        <v>15.324999999999999</v>
      </c>
      <c r="H36" s="90">
        <f>+IF('NO DELETE'!$P$7=1,โครงข่าย!H102,IF('NO DELETE'!$P$7=2,โครงข่าย!H168,IF('NO DELETE'!$P$7=3,โครงข่าย!H234,IF('NO DELETE'!$P$7=4,โครงข่าย!H300,โครงข่าย!H366))))</f>
        <v>0</v>
      </c>
      <c r="I36" s="90">
        <f>+IF('NO DELETE'!$P$7=1,โครงข่าย!I102,IF('NO DELETE'!$P$7=2,โครงข่าย!I168,IF('NO DELETE'!$P$7=3,โครงข่าย!I234,IF('NO DELETE'!$P$7=4,โครงข่าย!I300,โครงข่าย!I366))))</f>
        <v>15.324999999999999</v>
      </c>
      <c r="J36" s="90">
        <f>+IF('NO DELETE'!$P$7=1,โครงข่าย!J102,IF('NO DELETE'!$P$7=2,โครงข่าย!J168,IF('NO DELETE'!$P$7=3,โครงข่าย!J234,IF('NO DELETE'!$P$7=4,โครงข่าย!J300,โครงข่าย!J366))))</f>
        <v>0</v>
      </c>
      <c r="K36" s="90">
        <f>+IF('NO DELETE'!$P$7=1,โครงข่าย!K102,IF('NO DELETE'!$P$7=2,โครงข่าย!K168,IF('NO DELETE'!$P$7=3,โครงข่าย!K234,IF('NO DELETE'!$P$7=4,โครงข่าย!K300,โครงข่าย!K366))))</f>
        <v>6.6826379999999999</v>
      </c>
      <c r="L36" s="90">
        <f>+IF('NO DELETE'!$P$7=1,โครงข่าย!L102,IF('NO DELETE'!$P$7=2,โครงข่าย!L168,IF('NO DELETE'!$P$7=3,โครงข่าย!L234,IF('NO DELETE'!$P$7=4,โครงข่าย!L300,โครงข่าย!L366))))</f>
        <v>101.266738</v>
      </c>
      <c r="M36" s="90">
        <f>+IF('NO DELETE'!$P$7=1,โครงข่าย!M102,IF('NO DELETE'!$P$7=2,โครงข่าย!M168,IF('NO DELETE'!$P$7=3,โครงข่าย!M234,IF('NO DELETE'!$P$7=4,โครงข่าย!M300,โครงข่าย!M366))))</f>
        <v>6.7805749999999998</v>
      </c>
      <c r="N36" s="90">
        <f>+IF('NO DELETE'!$P$7=1,โครงข่าย!N102,IF('NO DELETE'!$P$7=2,โครงข่าย!N168,IF('NO DELETE'!$P$7=3,โครงข่าย!N234,IF('NO DELETE'!$P$7=4,โครงข่าย!N300,โครงข่าย!N366))))</f>
        <v>101.200861</v>
      </c>
    </row>
    <row r="37" spans="1:14" s="24" customFormat="1">
      <c r="A37" s="68">
        <f t="shared" si="0"/>
        <v>31</v>
      </c>
      <c r="B37" s="88" t="str">
        <f>+IF('NO DELETE'!$P$7=1,โครงข่าย!B103,IF('NO DELETE'!$P$7=2,โครงข่าย!B169,IF('NO DELETE'!$P$7=3,โครงข่าย!B235,IF('NO DELETE'!$P$7=4,โครงข่าย!B301,โครงข่าย!B367))))</f>
        <v>ปน.3057</v>
      </c>
      <c r="C37" s="90" t="str">
        <f>+IF('NO DELETE'!$P$7=1,โครงข่าย!C103,IF('NO DELETE'!$P$7=2,โครงข่าย!C169,IF('NO DELETE'!$P$7=3,โครงข่าย!C235,IF('NO DELETE'!$P$7=4,โครงข่าย!C301,โครงข่าย!C367))))</f>
        <v>แยกทางหลวงหมายเลข 410 - บ้านดูวา</v>
      </c>
      <c r="D37" s="90" t="str">
        <f>+IF('NO DELETE'!$P$7=1,โครงข่าย!D103,IF('NO DELETE'!$P$7=2,โครงข่าย!D169,IF('NO DELETE'!$P$7=3,โครงข่าย!D235,IF('NO DELETE'!$P$7=4,โครงข่าย!D301,โครงข่าย!D367))))</f>
        <v>-</v>
      </c>
      <c r="E37" s="88" t="str">
        <f>+IF('NO DELETE'!$P$7=1,โครงข่าย!E103,IF('NO DELETE'!$P$7=2,โครงข่าย!E169,IF('NO DELETE'!$P$7=3,โครงข่าย!E235,IF('NO DELETE'!$P$7=4,โครงข่าย!E301,โครงข่าย!E367))))</f>
        <v>ยะรัง,มายอ</v>
      </c>
      <c r="F37" s="88" t="str">
        <f>+IF('NO DELETE'!$P$7=1,โครงข่าย!F103,IF('NO DELETE'!$P$7=2,โครงข่าย!F169,IF('NO DELETE'!$P$7=3,โครงข่าย!F235,IF('NO DELETE'!$P$7=4,โครงข่าย!F301,โครงข่าย!F367))))</f>
        <v>ปัตตานี</v>
      </c>
      <c r="G37" s="90">
        <f>+IF('NO DELETE'!$P$7=1,โครงข่าย!G103,IF('NO DELETE'!$P$7=2,โครงข่าย!G169,IF('NO DELETE'!$P$7=3,โครงข่าย!G235,IF('NO DELETE'!$P$7=4,โครงข่าย!G301,โครงข่าย!G367))))</f>
        <v>24.43</v>
      </c>
      <c r="H37" s="90">
        <f>+IF('NO DELETE'!$P$7=1,โครงข่าย!H103,IF('NO DELETE'!$P$7=2,โครงข่าย!H169,IF('NO DELETE'!$P$7=3,โครงข่าย!H235,IF('NO DELETE'!$P$7=4,โครงข่าย!H301,โครงข่าย!H367))))</f>
        <v>17.45</v>
      </c>
      <c r="I37" s="90">
        <f>+IF('NO DELETE'!$P$7=1,โครงข่าย!I103,IF('NO DELETE'!$P$7=2,โครงข่าย!I169,IF('NO DELETE'!$P$7=3,โครงข่าย!I235,IF('NO DELETE'!$P$7=4,โครงข่าย!I301,โครงข่าย!I367))))</f>
        <v>6.98</v>
      </c>
      <c r="J37" s="90">
        <f>+IF('NO DELETE'!$P$7=1,โครงข่าย!J103,IF('NO DELETE'!$P$7=2,โครงข่าย!J169,IF('NO DELETE'!$P$7=3,โครงข่าย!J235,IF('NO DELETE'!$P$7=4,โครงข่าย!J301,โครงข่าย!J367))))</f>
        <v>0</v>
      </c>
      <c r="K37" s="90">
        <f>+IF('NO DELETE'!$P$7=1,โครงข่าย!K103,IF('NO DELETE'!$P$7=2,โครงข่าย!K169,IF('NO DELETE'!$P$7=3,โครงข่าย!K235,IF('NO DELETE'!$P$7=4,โครงข่าย!K301,โครงข่าย!K367))))</f>
        <v>6.6838490000000004</v>
      </c>
      <c r="L37" s="90">
        <f>+IF('NO DELETE'!$P$7=1,โครงข่าย!L103,IF('NO DELETE'!$P$7=2,โครงข่าย!L169,IF('NO DELETE'!$P$7=3,โครงข่าย!L235,IF('NO DELETE'!$P$7=4,โครงข่าย!L301,โครงข่าย!L367))))</f>
        <v>101.299533</v>
      </c>
      <c r="M37" s="90">
        <f>+IF('NO DELETE'!$P$7=1,โครงข่าย!M103,IF('NO DELETE'!$P$7=2,โครงข่าย!M169,IF('NO DELETE'!$P$7=3,โครงข่าย!M235,IF('NO DELETE'!$P$7=4,โครงข่าย!M301,โครงข่าย!M367))))</f>
        <v>6.724723</v>
      </c>
      <c r="N37" s="90">
        <f>+IF('NO DELETE'!$P$7=1,โครงข่าย!N103,IF('NO DELETE'!$P$7=2,โครงข่าย!N169,IF('NO DELETE'!$P$7=3,โครงข่าย!N235,IF('NO DELETE'!$P$7=4,โครงข่าย!N301,โครงข่าย!N367))))</f>
        <v>101.423526</v>
      </c>
    </row>
    <row r="38" spans="1:14" s="24" customFormat="1">
      <c r="A38" s="68">
        <f t="shared" si="0"/>
        <v>32</v>
      </c>
      <c r="B38" s="88" t="str">
        <f>+IF('NO DELETE'!$P$7=1,โครงข่าย!B104,IF('NO DELETE'!$P$7=2,โครงข่าย!B170,IF('NO DELETE'!$P$7=3,โครงข่าย!B236,IF('NO DELETE'!$P$7=4,โครงข่าย!B302,โครงข่าย!B368))))</f>
        <v>ปน.3058</v>
      </c>
      <c r="C38" s="90" t="str">
        <f>+IF('NO DELETE'!$P$7=1,โครงข่าย!C104,IF('NO DELETE'!$P$7=2,โครงข่าย!C170,IF('NO DELETE'!$P$7=3,โครงข่าย!C236,IF('NO DELETE'!$P$7=4,โครงข่าย!C302,โครงข่าย!C368))))</f>
        <v>แยกทางหลวงหมายเลข 409 - เขื่อนปัตตานี</v>
      </c>
      <c r="D38" s="90" t="str">
        <f>+IF('NO DELETE'!$P$7=1,โครงข่าย!D104,IF('NO DELETE'!$P$7=2,โครงข่าย!D170,IF('NO DELETE'!$P$7=3,โครงข่าย!D236,IF('NO DELETE'!$P$7=4,โครงข่าย!D302,โครงข่าย!D368))))</f>
        <v>-</v>
      </c>
      <c r="E38" s="88" t="str">
        <f>+IF('NO DELETE'!$P$7=1,โครงข่าย!E104,IF('NO DELETE'!$P$7=2,โครงข่าย!E170,IF('NO DELETE'!$P$7=3,โครงข่าย!E236,IF('NO DELETE'!$P$7=4,โครงข่าย!E302,โครงข่าย!E368))))</f>
        <v>โคกโพธิ์,ยะรัง</v>
      </c>
      <c r="F38" s="88" t="str">
        <f>+IF('NO DELETE'!$P$7=1,โครงข่าย!F104,IF('NO DELETE'!$P$7=2,โครงข่าย!F170,IF('NO DELETE'!$P$7=3,โครงข่าย!F236,IF('NO DELETE'!$P$7=4,โครงข่าย!F302,โครงข่าย!F368))))</f>
        <v>ปัตตานี</v>
      </c>
      <c r="G38" s="90">
        <f>+IF('NO DELETE'!$P$7=1,โครงข่าย!G104,IF('NO DELETE'!$P$7=2,โครงข่าย!G170,IF('NO DELETE'!$P$7=3,โครงข่าย!G236,IF('NO DELETE'!$P$7=4,โครงข่าย!G302,โครงข่าย!G368))))</f>
        <v>25.036000000000001</v>
      </c>
      <c r="H38" s="90">
        <f>+IF('NO DELETE'!$P$7=1,โครงข่าย!H104,IF('NO DELETE'!$P$7=2,โครงข่าย!H170,IF('NO DELETE'!$P$7=3,โครงข่าย!H236,IF('NO DELETE'!$P$7=4,โครงข่าย!H302,โครงข่าย!H368))))</f>
        <v>1.91</v>
      </c>
      <c r="I38" s="90">
        <f>+IF('NO DELETE'!$P$7=1,โครงข่าย!I104,IF('NO DELETE'!$P$7=2,โครงข่าย!I170,IF('NO DELETE'!$P$7=3,โครงข่าย!I236,IF('NO DELETE'!$P$7=4,โครงข่าย!I302,โครงข่าย!I368))))</f>
        <v>23.126000000000001</v>
      </c>
      <c r="J38" s="90">
        <f>+IF('NO DELETE'!$P$7=1,โครงข่าย!J104,IF('NO DELETE'!$P$7=2,โครงข่าย!J170,IF('NO DELETE'!$P$7=3,โครงข่าย!J236,IF('NO DELETE'!$P$7=4,โครงข่าย!J302,โครงข่าย!J368))))</f>
        <v>0</v>
      </c>
      <c r="K38" s="90">
        <f>+IF('NO DELETE'!$P$7=1,โครงข่าย!K104,IF('NO DELETE'!$P$7=2,โครงข่าย!K170,IF('NO DELETE'!$P$7=3,โครงข่าย!K236,IF('NO DELETE'!$P$7=4,โครงข่าย!K302,โครงข่าย!K368))))</f>
        <v>6.7367439999999998</v>
      </c>
      <c r="L38" s="90">
        <f>+IF('NO DELETE'!$P$7=1,โครงข่าย!L104,IF('NO DELETE'!$P$7=2,โครงข่าย!L170,IF('NO DELETE'!$P$7=3,โครงข่าย!L236,IF('NO DELETE'!$P$7=4,โครงข่าย!L302,โครงข่าย!L368))))</f>
        <v>101.134811</v>
      </c>
      <c r="M38" s="90">
        <f>+IF('NO DELETE'!$P$7=1,โครงข่าย!M104,IF('NO DELETE'!$P$7=2,โครงข่าย!M170,IF('NO DELETE'!$P$7=3,โครงข่าย!M236,IF('NO DELETE'!$P$7=4,โครงข่าย!M302,โครงข่าย!M368))))</f>
        <v>6.6585470000000004</v>
      </c>
      <c r="N38" s="90">
        <f>+IF('NO DELETE'!$P$7=1,โครงข่าย!N104,IF('NO DELETE'!$P$7=2,โครงข่าย!N170,IF('NO DELETE'!$P$7=3,โครงข่าย!N236,IF('NO DELETE'!$P$7=4,โครงข่าย!N302,โครงข่าย!N368))))</f>
        <v>101.29077700000001</v>
      </c>
    </row>
    <row r="39" spans="1:14" s="24" customFormat="1">
      <c r="A39" s="68">
        <f t="shared" si="0"/>
        <v>33</v>
      </c>
      <c r="B39" s="88" t="str">
        <f>+IF('NO DELETE'!$P$7=1,โครงข่าย!B105,IF('NO DELETE'!$P$7=2,โครงข่าย!B171,IF('NO DELETE'!$P$7=3,โครงข่าย!B237,IF('NO DELETE'!$P$7=4,โครงข่าย!B303,โครงข่าย!B369))))</f>
        <v>ปน.5059</v>
      </c>
      <c r="C39" s="90" t="str">
        <f>+IF('NO DELETE'!$P$7=1,โครงข่าย!C105,IF('NO DELETE'!$P$7=2,โครงข่าย!C171,IF('NO DELETE'!$P$7=3,โครงข่าย!C237,IF('NO DELETE'!$P$7=4,โครงข่าย!C303,โครงข่าย!C369))))</f>
        <v>แยกทางหลวงชนบท ปน.3057  - บ้านเกาะจัน</v>
      </c>
      <c r="D39" s="90" t="str">
        <f>+IF('NO DELETE'!$P$7=1,โครงข่าย!D105,IF('NO DELETE'!$P$7=2,โครงข่าย!D171,IF('NO DELETE'!$P$7=3,โครงข่าย!D237,IF('NO DELETE'!$P$7=4,โครงข่าย!D303,โครงข่าย!D369))))</f>
        <v>-</v>
      </c>
      <c r="E39" s="88" t="str">
        <f>+IF('NO DELETE'!$P$7=1,โครงข่าย!E105,IF('NO DELETE'!$P$7=2,โครงข่าย!E171,IF('NO DELETE'!$P$7=3,โครงข่าย!E237,IF('NO DELETE'!$P$7=4,โครงข่าย!E303,โครงข่าย!E369))))</f>
        <v>ยะรัง, มายอ</v>
      </c>
      <c r="F39" s="88" t="str">
        <f>+IF('NO DELETE'!$P$7=1,โครงข่าย!F105,IF('NO DELETE'!$P$7=2,โครงข่าย!F171,IF('NO DELETE'!$P$7=3,โครงข่าย!F237,IF('NO DELETE'!$P$7=4,โครงข่าย!F303,โครงข่าย!F369))))</f>
        <v>ปัตตานี</v>
      </c>
      <c r="G39" s="90">
        <f>+IF('NO DELETE'!$P$7=1,โครงข่าย!G105,IF('NO DELETE'!$P$7=2,โครงข่าย!G171,IF('NO DELETE'!$P$7=3,โครงข่าย!G237,IF('NO DELETE'!$P$7=4,โครงข่าย!G303,โครงข่าย!G369))))</f>
        <v>13.65</v>
      </c>
      <c r="H39" s="90">
        <f>+IF('NO DELETE'!$P$7=1,โครงข่าย!H105,IF('NO DELETE'!$P$7=2,โครงข่าย!H171,IF('NO DELETE'!$P$7=3,โครงข่าย!H237,IF('NO DELETE'!$P$7=4,โครงข่าย!H303,โครงข่าย!H369))))</f>
        <v>0</v>
      </c>
      <c r="I39" s="90">
        <f>+IF('NO DELETE'!$P$7=1,โครงข่าย!I105,IF('NO DELETE'!$P$7=2,โครงข่าย!I171,IF('NO DELETE'!$P$7=3,โครงข่าย!I237,IF('NO DELETE'!$P$7=4,โครงข่าย!I303,โครงข่าย!I369))))</f>
        <v>13.65</v>
      </c>
      <c r="J39" s="90">
        <f>+IF('NO DELETE'!$P$7=1,โครงข่าย!J105,IF('NO DELETE'!$P$7=2,โครงข่าย!J171,IF('NO DELETE'!$P$7=3,โครงข่าย!J237,IF('NO DELETE'!$P$7=4,โครงข่าย!J303,โครงข่าย!J369))))</f>
        <v>0</v>
      </c>
      <c r="K39" s="90">
        <f>+IF('NO DELETE'!$P$7=1,โครงข่าย!K105,IF('NO DELETE'!$P$7=2,โครงข่าย!K171,IF('NO DELETE'!$P$7=3,โครงข่าย!K237,IF('NO DELETE'!$P$7=4,โครงข่าย!K303,โครงข่าย!K369))))</f>
        <v>6.67828</v>
      </c>
      <c r="L39" s="90">
        <f>+IF('NO DELETE'!$P$7=1,โครงข่าย!L105,IF('NO DELETE'!$P$7=2,โครงข่าย!L171,IF('NO DELETE'!$P$7=3,โครงข่าย!L237,IF('NO DELETE'!$P$7=4,โครงข่าย!L303,โครงข่าย!L369))))</f>
        <v>101.30419999999999</v>
      </c>
      <c r="M39" s="90">
        <f>+IF('NO DELETE'!$P$7=1,โครงข่าย!M105,IF('NO DELETE'!$P$7=2,โครงข่าย!M171,IF('NO DELETE'!$P$7=3,โครงข่าย!M237,IF('NO DELETE'!$P$7=4,โครงข่าย!M303,โครงข่าย!M369))))</f>
        <v>6.7454299999999998</v>
      </c>
      <c r="N39" s="90">
        <f>+IF('NO DELETE'!$P$7=1,โครงข่าย!N105,IF('NO DELETE'!$P$7=2,โครงข่าย!N171,IF('NO DELETE'!$P$7=3,โครงข่าย!N237,IF('NO DELETE'!$P$7=4,โครงข่าย!N303,โครงข่าย!N369))))</f>
        <v>101.40702</v>
      </c>
    </row>
    <row r="40" spans="1:14" s="24" customFormat="1">
      <c r="A40" s="68">
        <f t="shared" ref="A40:A65" si="1">+A39+1</f>
        <v>34</v>
      </c>
      <c r="B40" s="88" t="str">
        <f>+IF('NO DELETE'!$P$7=1,โครงข่าย!B106,IF('NO DELETE'!$P$7=2,โครงข่าย!B172,IF('NO DELETE'!$P$7=3,โครงข่าย!B238,IF('NO DELETE'!$P$7=4,โครงข่าย!B304,โครงข่าย!B370))))</f>
        <v>ปน.2060</v>
      </c>
      <c r="C40" s="90" t="str">
        <f>+IF('NO DELETE'!$P$7=1,โครงข่าย!C106,IF('NO DELETE'!$P$7=2,โครงข่าย!C172,IF('NO DELETE'!$P$7=3,โครงข่าย!C238,IF('NO DELETE'!$P$7=4,โครงข่าย!C304,โครงข่าย!C370))))</f>
        <v xml:space="preserve">แยกทางหลวงหมายเลข 42-น้ำตกทรายขาว </v>
      </c>
      <c r="D40" s="90" t="str">
        <f>+IF('NO DELETE'!$P$7=1,โครงข่าย!D106,IF('NO DELETE'!$P$7=2,โครงข่าย!D172,IF('NO DELETE'!$P$7=3,โครงข่าย!D238,IF('NO DELETE'!$P$7=4,โครงข่าย!D304,โครงข่าย!D370))))</f>
        <v>-</v>
      </c>
      <c r="E40" s="88" t="str">
        <f>+IF('NO DELETE'!$P$7=1,โครงข่าย!E106,IF('NO DELETE'!$P$7=2,โครงข่าย!E172,IF('NO DELETE'!$P$7=3,โครงข่าย!E238,IF('NO DELETE'!$P$7=4,โครงข่าย!E304,โครงข่าย!E370))))</f>
        <v>โคกโพธิ์</v>
      </c>
      <c r="F40" s="88" t="str">
        <f>+IF('NO DELETE'!$P$7=1,โครงข่าย!F106,IF('NO DELETE'!$P$7=2,โครงข่าย!F172,IF('NO DELETE'!$P$7=3,โครงข่าย!F238,IF('NO DELETE'!$P$7=4,โครงข่าย!F304,โครงข่าย!F370))))</f>
        <v>ปัตตานี</v>
      </c>
      <c r="G40" s="90">
        <f>+IF('NO DELETE'!$P$7=1,โครงข่าย!G106,IF('NO DELETE'!$P$7=2,โครงข่าย!G172,IF('NO DELETE'!$P$7=3,โครงข่าย!G238,IF('NO DELETE'!$P$7=4,โครงข่าย!G304,โครงข่าย!G370))))</f>
        <v>7.319</v>
      </c>
      <c r="H40" s="90">
        <f>+IF('NO DELETE'!$P$7=1,โครงข่าย!H106,IF('NO DELETE'!$P$7=2,โครงข่าย!H172,IF('NO DELETE'!$P$7=3,โครงข่าย!H238,IF('NO DELETE'!$P$7=4,โครงข่าย!H304,โครงข่าย!H370))))</f>
        <v>0</v>
      </c>
      <c r="I40" s="90">
        <f>+IF('NO DELETE'!$P$7=1,โครงข่าย!I106,IF('NO DELETE'!$P$7=2,โครงข่าย!I172,IF('NO DELETE'!$P$7=3,โครงข่าย!I238,IF('NO DELETE'!$P$7=4,โครงข่าย!I304,โครงข่าย!I370))))</f>
        <v>7.319</v>
      </c>
      <c r="J40" s="90">
        <f>+IF('NO DELETE'!$P$7=1,โครงข่าย!J106,IF('NO DELETE'!$P$7=2,โครงข่าย!J172,IF('NO DELETE'!$P$7=3,โครงข่าย!J238,IF('NO DELETE'!$P$7=4,โครงข่าย!J304,โครงข่าย!J370))))</f>
        <v>0</v>
      </c>
      <c r="K40" s="90">
        <f>+IF('NO DELETE'!$P$7=1,โครงข่าย!K106,IF('NO DELETE'!$P$7=2,โครงข่าย!K172,IF('NO DELETE'!$P$7=3,โครงข่าย!K238,IF('NO DELETE'!$P$7=4,โครงข่าย!K304,โครงข่าย!K370))))</f>
        <v>6.6789129999999997</v>
      </c>
      <c r="L40" s="90">
        <f>+IF('NO DELETE'!$P$7=1,โครงข่าย!L106,IF('NO DELETE'!$P$7=2,โครงข่าย!L172,IF('NO DELETE'!$P$7=3,โครงข่าย!L238,IF('NO DELETE'!$P$7=4,โครงข่าย!L304,โครงข่าย!L370))))</f>
        <v>101.146066</v>
      </c>
      <c r="M40" s="90">
        <f>+IF('NO DELETE'!$P$7=1,โครงข่าย!M106,IF('NO DELETE'!$P$7=2,โครงข่าย!M172,IF('NO DELETE'!$P$7=3,โครงข่าย!M238,IF('NO DELETE'!$P$7=4,โครงข่าย!M304,โครงข่าย!M370))))</f>
        <v>6.6576019999999998</v>
      </c>
      <c r="N40" s="90">
        <f>+IF('NO DELETE'!$P$7=1,โครงข่าย!N106,IF('NO DELETE'!$P$7=2,โครงข่าย!N172,IF('NO DELETE'!$P$7=3,โครงข่าย!N238,IF('NO DELETE'!$P$7=4,โครงข่าย!N304,โครงข่าย!N370))))</f>
        <v>101.095377</v>
      </c>
    </row>
    <row r="41" spans="1:14" s="24" customFormat="1">
      <c r="A41" s="68">
        <f t="shared" si="1"/>
        <v>35</v>
      </c>
      <c r="B41" s="88" t="str">
        <f>+IF('NO DELETE'!$P$7=1,โครงข่าย!B107,IF('NO DELETE'!$P$7=2,โครงข่าย!B173,IF('NO DELETE'!$P$7=3,โครงข่าย!B239,IF('NO DELETE'!$P$7=4,โครงข่าย!B305,โครงข่าย!B371))))</f>
        <v>ปน.2061</v>
      </c>
      <c r="C41" s="90" t="str">
        <f>+IF('NO DELETE'!$P$7=1,โครงข่าย!C107,IF('NO DELETE'!$P$7=2,โครงข่าย!C173,IF('NO DELETE'!$P$7=3,โครงข่าย!C239,IF('NO DELETE'!$P$7=4,โครงข่าย!C305,โครงข่าย!C371))))</f>
        <v>แยกทางหลวงหมายเลข 42 -บ้านสายบุรี</v>
      </c>
      <c r="D41" s="90" t="str">
        <f>+IF('NO DELETE'!$P$7=1,โครงข่าย!D107,IF('NO DELETE'!$P$7=2,โครงข่าย!D173,IF('NO DELETE'!$P$7=3,โครงข่าย!D239,IF('NO DELETE'!$P$7=4,โครงข่าย!D305,โครงข่าย!D371))))</f>
        <v>-</v>
      </c>
      <c r="E41" s="88" t="str">
        <f>+IF('NO DELETE'!$P$7=1,โครงข่าย!E107,IF('NO DELETE'!$P$7=2,โครงข่าย!E173,IF('NO DELETE'!$P$7=3,โครงข่าย!E239,IF('NO DELETE'!$P$7=4,โครงข่าย!E305,โครงข่าย!E371))))</f>
        <v>สายบุรี</v>
      </c>
      <c r="F41" s="88" t="str">
        <f>+IF('NO DELETE'!$P$7=1,โครงข่าย!F107,IF('NO DELETE'!$P$7=2,โครงข่าย!F173,IF('NO DELETE'!$P$7=3,โครงข่าย!F239,IF('NO DELETE'!$P$7=4,โครงข่าย!F305,โครงข่าย!F371))))</f>
        <v>ปัตตานี</v>
      </c>
      <c r="G41" s="90">
        <f>+IF('NO DELETE'!$P$7=1,โครงข่าย!G107,IF('NO DELETE'!$P$7=2,โครงข่าย!G173,IF('NO DELETE'!$P$7=3,โครงข่าย!G239,IF('NO DELETE'!$P$7=4,โครงข่าย!G305,โครงข่าย!G371))))</f>
        <v>8.15</v>
      </c>
      <c r="H41" s="90">
        <f>+IF('NO DELETE'!$P$7=1,โครงข่าย!H107,IF('NO DELETE'!$P$7=2,โครงข่าย!H173,IF('NO DELETE'!$P$7=3,โครงข่าย!H239,IF('NO DELETE'!$P$7=4,โครงข่าย!H305,โครงข่าย!H371))))</f>
        <v>0</v>
      </c>
      <c r="I41" s="90">
        <f>+IF('NO DELETE'!$P$7=1,โครงข่าย!I107,IF('NO DELETE'!$P$7=2,โครงข่าย!I173,IF('NO DELETE'!$P$7=3,โครงข่าย!I239,IF('NO DELETE'!$P$7=4,โครงข่าย!I305,โครงข่าย!I371))))</f>
        <v>8.15</v>
      </c>
      <c r="J41" s="90">
        <f>+IF('NO DELETE'!$P$7=1,โครงข่าย!J107,IF('NO DELETE'!$P$7=2,โครงข่าย!J173,IF('NO DELETE'!$P$7=3,โครงข่าย!J239,IF('NO DELETE'!$P$7=4,โครงข่าย!J305,โครงข่าย!J371))))</f>
        <v>0</v>
      </c>
      <c r="K41" s="90">
        <f>+IF('NO DELETE'!$P$7=1,โครงข่าย!K107,IF('NO DELETE'!$P$7=2,โครงข่าย!K173,IF('NO DELETE'!$P$7=3,โครงข่าย!K239,IF('NO DELETE'!$P$7=4,โครงข่าย!K305,โครงข่าย!K371))))</f>
        <v>6.6938899999999997</v>
      </c>
      <c r="L41" s="90">
        <f>+IF('NO DELETE'!$P$7=1,โครงข่าย!L107,IF('NO DELETE'!$P$7=2,โครงข่าย!L173,IF('NO DELETE'!$P$7=3,โครงข่าย!L239,IF('NO DELETE'!$P$7=4,โครงข่าย!L305,โครงข่าย!L371))))</f>
        <v>101.54621</v>
      </c>
      <c r="M41" s="90">
        <f>+IF('NO DELETE'!$P$7=1,โครงข่าย!M107,IF('NO DELETE'!$P$7=2,โครงข่าย!M173,IF('NO DELETE'!$P$7=3,โครงข่าย!M239,IF('NO DELETE'!$P$7=4,โครงข่าย!M305,โครงข่าย!M371))))</f>
        <v>6.7011000000000003</v>
      </c>
      <c r="N41" s="90">
        <f>+IF('NO DELETE'!$P$7=1,โครงข่าย!N107,IF('NO DELETE'!$P$7=2,โครงข่าย!N173,IF('NO DELETE'!$P$7=3,โครงข่าย!N239,IF('NO DELETE'!$P$7=4,โครงข่าย!N305,โครงข่าย!N371))))</f>
        <v>101.60893</v>
      </c>
    </row>
    <row r="42" spans="1:14" s="24" customFormat="1">
      <c r="A42" s="68">
        <f t="shared" si="1"/>
        <v>36</v>
      </c>
      <c r="B42" s="88" t="str">
        <f>+IF('NO DELETE'!$P$7=1,โครงข่าย!B108,IF('NO DELETE'!$P$7=2,โครงข่าย!B174,IF('NO DELETE'!$P$7=3,โครงข่าย!B240,IF('NO DELETE'!$P$7=4,โครงข่าย!B306,โครงข่าย!B372))))</f>
        <v>ปน.2062</v>
      </c>
      <c r="C42" s="90" t="str">
        <f>+IF('NO DELETE'!$P$7=1,โครงข่าย!C108,IF('NO DELETE'!$P$7=2,โครงข่าย!C174,IF('NO DELETE'!$P$7=3,โครงข่าย!C240,IF('NO DELETE'!$P$7=4,โครงข่าย!C306,โครงข่าย!C372))))</f>
        <v>แยกทางหลวงหมายเลข 42 - บ้านแหลมตาชี</v>
      </c>
      <c r="D42" s="90" t="str">
        <f>+IF('NO DELETE'!$P$7=1,โครงข่าย!D108,IF('NO DELETE'!$P$7=2,โครงข่าย!D174,IF('NO DELETE'!$P$7=3,โครงข่าย!D240,IF('NO DELETE'!$P$7=4,โครงข่าย!D306,โครงข่าย!D372))))</f>
        <v>-</v>
      </c>
      <c r="E42" s="88" t="str">
        <f>+IF('NO DELETE'!$P$7=1,โครงข่าย!E108,IF('NO DELETE'!$P$7=2,โครงข่าย!E174,IF('NO DELETE'!$P$7=3,โครงข่าย!E240,IF('NO DELETE'!$P$7=4,โครงข่าย!E306,โครงข่าย!E372))))</f>
        <v>ยะหริ่ง</v>
      </c>
      <c r="F42" s="88" t="str">
        <f>+IF('NO DELETE'!$P$7=1,โครงข่าย!F108,IF('NO DELETE'!$P$7=2,โครงข่าย!F174,IF('NO DELETE'!$P$7=3,โครงข่าย!F240,IF('NO DELETE'!$P$7=4,โครงข่าย!F306,โครงข่าย!F372))))</f>
        <v>ปัตตานี</v>
      </c>
      <c r="G42" s="90">
        <f>+IF('NO DELETE'!$P$7=1,โครงข่าย!G108,IF('NO DELETE'!$P$7=2,โครงข่าย!G174,IF('NO DELETE'!$P$7=3,โครงข่าย!G240,IF('NO DELETE'!$P$7=4,โครงข่าย!G306,โครงข่าย!G372))))</f>
        <v>21.584</v>
      </c>
      <c r="H42" s="90">
        <f>+IF('NO DELETE'!$P$7=1,โครงข่าย!H108,IF('NO DELETE'!$P$7=2,โครงข่าย!H174,IF('NO DELETE'!$P$7=3,โครงข่าย!H240,IF('NO DELETE'!$P$7=4,โครงข่าย!H306,โครงข่าย!H372))))</f>
        <v>0</v>
      </c>
      <c r="I42" s="90">
        <f>+IF('NO DELETE'!$P$7=1,โครงข่าย!I108,IF('NO DELETE'!$P$7=2,โครงข่าย!I174,IF('NO DELETE'!$P$7=3,โครงข่าย!I240,IF('NO DELETE'!$P$7=4,โครงข่าย!I306,โครงข่าย!I372))))</f>
        <v>21.584</v>
      </c>
      <c r="J42" s="90">
        <f>+IF('NO DELETE'!$P$7=1,โครงข่าย!J108,IF('NO DELETE'!$P$7=2,โครงข่าย!J174,IF('NO DELETE'!$P$7=3,โครงข่าย!J240,IF('NO DELETE'!$P$7=4,โครงข่าย!J306,โครงข่าย!J372))))</f>
        <v>0</v>
      </c>
      <c r="K42" s="90">
        <f>+IF('NO DELETE'!$P$7=1,โครงข่าย!K108,IF('NO DELETE'!$P$7=2,โครงข่าย!K174,IF('NO DELETE'!$P$7=3,โครงข่าย!K240,IF('NO DELETE'!$P$7=4,โครงข่าย!K306,โครงข่าย!K372))))</f>
        <v>6.8616409999999997</v>
      </c>
      <c r="L42" s="90">
        <f>+IF('NO DELETE'!$P$7=1,โครงข่าย!L108,IF('NO DELETE'!$P$7=2,โครงข่าย!L174,IF('NO DELETE'!$P$7=3,โครงข่าย!L240,IF('NO DELETE'!$P$7=4,โครงข่าย!L306,โครงข่าย!L372))))</f>
        <v>101.368088</v>
      </c>
      <c r="M42" s="90">
        <f>+IF('NO DELETE'!$P$7=1,โครงข่าย!M108,IF('NO DELETE'!$P$7=2,โครงข่าย!M174,IF('NO DELETE'!$P$7=3,โครงข่าย!M240,IF('NO DELETE'!$P$7=4,โครงข่าย!M306,โครงข่าย!M372))))</f>
        <v>6.9358329999999997</v>
      </c>
      <c r="N42" s="90">
        <f>+IF('NO DELETE'!$P$7=1,โครงข่าย!N108,IF('NO DELETE'!$P$7=2,โครงข่าย!N174,IF('NO DELETE'!$P$7=3,โครงข่าย!N240,IF('NO DELETE'!$P$7=4,โครงข่าย!N306,โครงข่าย!N372))))</f>
        <v>101.240752</v>
      </c>
    </row>
    <row r="43" spans="1:14" s="24" customFormat="1">
      <c r="A43" s="68">
        <f t="shared" si="1"/>
        <v>37</v>
      </c>
      <c r="B43" s="88" t="str">
        <f>+IF('NO DELETE'!$P$7=1,โครงข่าย!B109,IF('NO DELETE'!$P$7=2,โครงข่าย!B175,IF('NO DELETE'!$P$7=3,โครงข่าย!B241,IF('NO DELETE'!$P$7=4,โครงข่าย!B307,โครงข่าย!B373))))</f>
        <v>ปน.2063</v>
      </c>
      <c r="C43" s="90" t="str">
        <f>+IF('NO DELETE'!$P$7=1,โครงข่าย!C109,IF('NO DELETE'!$P$7=2,โครงข่าย!C175,IF('NO DELETE'!$P$7=3,โครงข่าย!C241,IF('NO DELETE'!$P$7=4,โครงข่าย!C307,โครงข่าย!C373))))</f>
        <v>แยกทางหลวงหมายเลข 42  - บ้านช้างไห้ตก</v>
      </c>
      <c r="D43" s="90" t="str">
        <f>+IF('NO DELETE'!$P$7=1,โครงข่าย!D109,IF('NO DELETE'!$P$7=2,โครงข่าย!D175,IF('NO DELETE'!$P$7=3,โครงข่าย!D241,IF('NO DELETE'!$P$7=4,โครงข่าย!D307,โครงข่าย!D373))))</f>
        <v>-</v>
      </c>
      <c r="E43" s="88" t="str">
        <f>+IF('NO DELETE'!$P$7=1,โครงข่าย!E109,IF('NO DELETE'!$P$7=2,โครงข่าย!E175,IF('NO DELETE'!$P$7=3,โครงข่าย!E241,IF('NO DELETE'!$P$7=4,โครงข่าย!E307,โครงข่าย!E373))))</f>
        <v>โคกโพธิ์</v>
      </c>
      <c r="F43" s="88" t="str">
        <f>+IF('NO DELETE'!$P$7=1,โครงข่าย!F109,IF('NO DELETE'!$P$7=2,โครงข่าย!F175,IF('NO DELETE'!$P$7=3,โครงข่าย!F241,IF('NO DELETE'!$P$7=4,โครงข่าย!F307,โครงข่าย!F373))))</f>
        <v>ปัตตานี</v>
      </c>
      <c r="G43" s="90">
        <f>+IF('NO DELETE'!$P$7=1,โครงข่าย!G109,IF('NO DELETE'!$P$7=2,โครงข่าย!G175,IF('NO DELETE'!$P$7=3,โครงข่าย!G241,IF('NO DELETE'!$P$7=4,โครงข่าย!G307,โครงข่าย!G373))))</f>
        <v>10.122</v>
      </c>
      <c r="H43" s="90">
        <f>+IF('NO DELETE'!$P$7=1,โครงข่าย!H109,IF('NO DELETE'!$P$7=2,โครงข่าย!H175,IF('NO DELETE'!$P$7=3,โครงข่าย!H241,IF('NO DELETE'!$P$7=4,โครงข่าย!H307,โครงข่าย!H373))))</f>
        <v>0</v>
      </c>
      <c r="I43" s="90">
        <f>+IF('NO DELETE'!$P$7=1,โครงข่าย!I109,IF('NO DELETE'!$P$7=2,โครงข่าย!I175,IF('NO DELETE'!$P$7=3,โครงข่าย!I241,IF('NO DELETE'!$P$7=4,โครงข่าย!I307,โครงข่าย!I373))))</f>
        <v>9.782</v>
      </c>
      <c r="J43" s="90">
        <f>+IF('NO DELETE'!$P$7=1,โครงข่าย!J109,IF('NO DELETE'!$P$7=2,โครงข่าย!J175,IF('NO DELETE'!$P$7=3,โครงข่าย!J241,IF('NO DELETE'!$P$7=4,โครงข่าย!J307,โครงข่าย!J373))))</f>
        <v>0.34</v>
      </c>
      <c r="K43" s="90">
        <f>+IF('NO DELETE'!$P$7=1,โครงข่าย!K109,IF('NO DELETE'!$P$7=2,โครงข่าย!K175,IF('NO DELETE'!$P$7=3,โครงข่าย!K241,IF('NO DELETE'!$P$7=4,โครงข่าย!K307,โครงข่าย!K373))))</f>
        <v>6.7288379999999997</v>
      </c>
      <c r="L43" s="90">
        <f>+IF('NO DELETE'!$P$7=1,โครงข่าย!L109,IF('NO DELETE'!$P$7=2,โครงข่าย!L175,IF('NO DELETE'!$P$7=3,โครงข่าย!L241,IF('NO DELETE'!$P$7=4,โครงข่าย!L307,โครงข่าย!L373))))</f>
        <v>101.097561</v>
      </c>
      <c r="M43" s="90">
        <f>+IF('NO DELETE'!$P$7=1,โครงข่าย!M109,IF('NO DELETE'!$P$7=2,โครงข่าย!M175,IF('NO DELETE'!$P$7=3,โครงข่าย!M241,IF('NO DELETE'!$P$7=4,โครงข่าย!M307,โครงข่าย!M373))))</f>
        <v>6.6840270000000004</v>
      </c>
      <c r="N43" s="90">
        <f>+IF('NO DELETE'!$P$7=1,โครงข่าย!N109,IF('NO DELETE'!$P$7=2,โครงข่าย!N175,IF('NO DELETE'!$P$7=3,โครงข่าย!N241,IF('NO DELETE'!$P$7=4,โครงข่าย!N307,โครงข่าย!N373))))</f>
        <v>101.07278599999999</v>
      </c>
    </row>
    <row r="44" spans="1:14" s="24" customFormat="1">
      <c r="A44" s="68">
        <f t="shared" si="1"/>
        <v>38</v>
      </c>
      <c r="B44" s="88" t="str">
        <f>+IF('NO DELETE'!$P$7=1,โครงข่าย!B110,IF('NO DELETE'!$P$7=2,โครงข่าย!B176,IF('NO DELETE'!$P$7=3,โครงข่าย!B242,IF('NO DELETE'!$P$7=4,โครงข่าย!B308,โครงข่าย!B374))))</f>
        <v>ปน.2064</v>
      </c>
      <c r="C44" s="90" t="str">
        <f>+IF('NO DELETE'!$P$7=1,โครงข่าย!C110,IF('NO DELETE'!$P$7=2,โครงข่าย!C176,IF('NO DELETE'!$P$7=3,โครงข่าย!C242,IF('NO DELETE'!$P$7=4,โครงข่าย!C308,โครงข่าย!C374))))</f>
        <v>แยกทางหลวงหมายเลข 42 - บ้านปรุหรน</v>
      </c>
      <c r="D44" s="90" t="str">
        <f>+IF('NO DELETE'!$P$7=1,โครงข่าย!D110,IF('NO DELETE'!$P$7=2,โครงข่าย!D176,IF('NO DELETE'!$P$7=3,โครงข่าย!D242,IF('NO DELETE'!$P$7=4,โครงข่าย!D308,โครงข่าย!D374))))</f>
        <v>-</v>
      </c>
      <c r="E44" s="88" t="str">
        <f>+IF('NO DELETE'!$P$7=1,โครงข่าย!E110,IF('NO DELETE'!$P$7=2,โครงข่าย!E176,IF('NO DELETE'!$P$7=3,โครงข่าย!E242,IF('NO DELETE'!$P$7=4,โครงข่าย!E308,โครงข่าย!E374))))</f>
        <v>โคกโพธิ์</v>
      </c>
      <c r="F44" s="88" t="str">
        <f>+IF('NO DELETE'!$P$7=1,โครงข่าย!F110,IF('NO DELETE'!$P$7=2,โครงข่าย!F176,IF('NO DELETE'!$P$7=3,โครงข่าย!F242,IF('NO DELETE'!$P$7=4,โครงข่าย!F308,โครงข่าย!F374))))</f>
        <v>ปัตตานี</v>
      </c>
      <c r="G44" s="90">
        <f>+IF('NO DELETE'!$P$7=1,โครงข่าย!G110,IF('NO DELETE'!$P$7=2,โครงข่าย!G176,IF('NO DELETE'!$P$7=3,โครงข่าย!G242,IF('NO DELETE'!$P$7=4,โครงข่าย!G308,โครงข่าย!G374))))</f>
        <v>9.9730000000000008</v>
      </c>
      <c r="H44" s="90">
        <f>+IF('NO DELETE'!$P$7=1,โครงข่าย!H110,IF('NO DELETE'!$P$7=2,โครงข่าย!H176,IF('NO DELETE'!$P$7=3,โครงข่าย!H242,IF('NO DELETE'!$P$7=4,โครงข่าย!H308,โครงข่าย!H374))))</f>
        <v>0</v>
      </c>
      <c r="I44" s="90">
        <f>+IF('NO DELETE'!$P$7=1,โครงข่าย!I110,IF('NO DELETE'!$P$7=2,โครงข่าย!I176,IF('NO DELETE'!$P$7=3,โครงข่าย!I242,IF('NO DELETE'!$P$7=4,โครงข่าย!I308,โครงข่าย!I374))))</f>
        <v>9.1530000000000005</v>
      </c>
      <c r="J44" s="90">
        <f>+IF('NO DELETE'!$P$7=1,โครงข่าย!J110,IF('NO DELETE'!$P$7=2,โครงข่าย!J176,IF('NO DELETE'!$P$7=3,โครงข่าย!J242,IF('NO DELETE'!$P$7=4,โครงข่าย!J308,โครงข่าย!J374))))</f>
        <v>0.82</v>
      </c>
      <c r="K44" s="90">
        <f>+IF('NO DELETE'!$P$7=1,โครงข่าย!K110,IF('NO DELETE'!$P$7=2,โครงข่าย!K176,IF('NO DELETE'!$P$7=3,โครงข่าย!K242,IF('NO DELETE'!$P$7=4,โครงข่าย!K308,โครงข่าย!K374))))</f>
        <v>6.7311329999999998</v>
      </c>
      <c r="L44" s="90">
        <f>+IF('NO DELETE'!$P$7=1,โครงข่าย!L110,IF('NO DELETE'!$P$7=2,โครงข่าย!L176,IF('NO DELETE'!$P$7=3,โครงข่าย!L242,IF('NO DELETE'!$P$7=4,โครงข่าย!L308,โครงข่าย!L374))))</f>
        <v>101.091538</v>
      </c>
      <c r="M44" s="90">
        <f>+IF('NO DELETE'!$P$7=1,โครงข่าย!M110,IF('NO DELETE'!$P$7=2,โครงข่าย!M176,IF('NO DELETE'!$P$7=3,โครงข่าย!M242,IF('NO DELETE'!$P$7=4,โครงข่าย!M308,โครงข่าย!M374))))</f>
        <v>6.6669362999999997</v>
      </c>
      <c r="N44" s="90">
        <f>+IF('NO DELETE'!$P$7=1,โครงข่าย!N110,IF('NO DELETE'!$P$7=2,โครงข่าย!N176,IF('NO DELETE'!$P$7=3,โครงข่าย!N242,IF('NO DELETE'!$P$7=4,โครงข่าย!N308,โครงข่าย!N374))))</f>
        <v>101.060411</v>
      </c>
    </row>
    <row r="45" spans="1:14" s="24" customFormat="1">
      <c r="A45" s="68">
        <f t="shared" si="1"/>
        <v>39</v>
      </c>
      <c r="B45" s="88" t="str">
        <f>+IF('NO DELETE'!$P$7=1,โครงข่าย!B111,IF('NO DELETE'!$P$7=2,โครงข่าย!B177,IF('NO DELETE'!$P$7=3,โครงข่าย!B243,IF('NO DELETE'!$P$7=4,โครงข่าย!B309,โครงข่าย!B375))))</f>
        <v>ปน.2065</v>
      </c>
      <c r="C45" s="90" t="str">
        <f>+IF('NO DELETE'!$P$7=1,โครงข่าย!C111,IF('NO DELETE'!$P$7=2,โครงข่าย!C177,IF('NO DELETE'!$P$7=3,โครงข่าย!C243,IF('NO DELETE'!$P$7=4,โครงข่าย!C309,โครงข่าย!C375))))</f>
        <v>แยกทางหลวงหมายเลข 42 - บ้านท่าข้าม</v>
      </c>
      <c r="D45" s="90">
        <f>+IF('NO DELETE'!$P$7=1,โครงข่าย!D111,IF('NO DELETE'!$P$7=2,โครงข่าย!D177,IF('NO DELETE'!$P$7=3,โครงข่าย!D243,IF('NO DELETE'!$P$7=4,โครงข่าย!D309,โครงข่าย!D375))))</f>
        <v>0</v>
      </c>
      <c r="E45" s="88" t="str">
        <f>+IF('NO DELETE'!$P$7=1,โครงข่าย!E111,IF('NO DELETE'!$P$7=2,โครงข่าย!E177,IF('NO DELETE'!$P$7=3,โครงข่าย!E243,IF('NO DELETE'!$P$7=4,โครงข่าย!E309,โครงข่าย!E375))))</f>
        <v xml:space="preserve">ปะนาเระ </v>
      </c>
      <c r="F45" s="88" t="str">
        <f>+IF('NO DELETE'!$P$7=1,โครงข่าย!F111,IF('NO DELETE'!$P$7=2,โครงข่าย!F177,IF('NO DELETE'!$P$7=3,โครงข่าย!F243,IF('NO DELETE'!$P$7=4,โครงข่าย!F309,โครงข่าย!F375))))</f>
        <v>ปัตตานี</v>
      </c>
      <c r="G45" s="90">
        <f>+IF('NO DELETE'!$P$7=1,โครงข่าย!G111,IF('NO DELETE'!$P$7=2,โครงข่าย!G177,IF('NO DELETE'!$P$7=3,โครงข่าย!G243,IF('NO DELETE'!$P$7=4,โครงข่าย!G309,โครงข่าย!G375))))</f>
        <v>15.494</v>
      </c>
      <c r="H45" s="90">
        <f>+IF('NO DELETE'!$P$7=1,โครงข่าย!H111,IF('NO DELETE'!$P$7=2,โครงข่าย!H177,IF('NO DELETE'!$P$7=3,โครงข่าย!H243,IF('NO DELETE'!$P$7=4,โครงข่าย!H309,โครงข่าย!H375))))</f>
        <v>10.968999999999999</v>
      </c>
      <c r="I45" s="90">
        <f>+IF('NO DELETE'!$P$7=1,โครงข่าย!I111,IF('NO DELETE'!$P$7=2,โครงข่าย!I177,IF('NO DELETE'!$P$7=3,โครงข่าย!I243,IF('NO DELETE'!$P$7=4,โครงข่าย!I309,โครงข่าย!I375))))</f>
        <v>4.5250000000000004</v>
      </c>
      <c r="J45" s="90">
        <f>+IF('NO DELETE'!$P$7=1,โครงข่าย!J111,IF('NO DELETE'!$P$7=2,โครงข่าย!J177,IF('NO DELETE'!$P$7=3,โครงข่าย!J243,IF('NO DELETE'!$P$7=4,โครงข่าย!J309,โครงข่าย!J375))))</f>
        <v>0</v>
      </c>
      <c r="K45" s="90">
        <f>+IF('NO DELETE'!$P$7=1,โครงข่าย!K111,IF('NO DELETE'!$P$7=2,โครงข่าย!K177,IF('NO DELETE'!$P$7=3,โครงข่าย!K243,IF('NO DELETE'!$P$7=4,โครงข่าย!K309,โครงข่าย!K375))))</f>
        <v>6.7587950000000001</v>
      </c>
      <c r="L45" s="90">
        <f>+IF('NO DELETE'!$P$7=1,โครงข่าย!L111,IF('NO DELETE'!$P$7=2,โครงข่าย!L177,IF('NO DELETE'!$P$7=3,โครงข่าย!L243,IF('NO DELETE'!$P$7=4,โครงข่าย!L309,โครงข่าย!L375))))</f>
        <v>101.477653</v>
      </c>
      <c r="M45" s="90">
        <f>+IF('NO DELETE'!$P$7=1,โครงข่าย!M111,IF('NO DELETE'!$P$7=2,โครงข่าย!M177,IF('NO DELETE'!$P$7=3,โครงข่าย!M243,IF('NO DELETE'!$P$7=4,โครงข่าย!M309,โครงข่าย!M375))))</f>
        <v>6.8540789999999996</v>
      </c>
      <c r="N45" s="90">
        <f>+IF('NO DELETE'!$P$7=1,โครงข่าย!N111,IF('NO DELETE'!$P$7=2,โครงข่าย!N177,IF('NO DELETE'!$P$7=3,โครงข่าย!N243,IF('NO DELETE'!$P$7=4,โครงข่าย!N309,โครงข่าย!N375))))</f>
        <v>101.489476</v>
      </c>
    </row>
    <row r="46" spans="1:14" s="24" customFormat="1">
      <c r="A46" s="68">
        <f t="shared" si="1"/>
        <v>40</v>
      </c>
      <c r="B46" s="88" t="str">
        <f>+IF('NO DELETE'!$P$7=1,โครงข่าย!B112,IF('NO DELETE'!$P$7=2,โครงข่าย!B178,IF('NO DELETE'!$P$7=3,โครงข่าย!B244,IF('NO DELETE'!$P$7=4,โครงข่าย!B310,โครงข่าย!B376))))</f>
        <v>ปน.2066</v>
      </c>
      <c r="C46" s="90" t="str">
        <f>+IF('NO DELETE'!$P$7=1,โครงข่าย!C112,IF('NO DELETE'!$P$7=2,โครงข่าย!C178,IF('NO DELETE'!$P$7=3,โครงข่าย!C244,IF('NO DELETE'!$P$7=4,โครงข่าย!C310,โครงข่าย!C376))))</f>
        <v>แยกทางหลวงหมายเลข 410 - บ้านถนน</v>
      </c>
      <c r="D46" s="90">
        <f>+IF('NO DELETE'!$P$7=1,โครงข่าย!D112,IF('NO DELETE'!$P$7=2,โครงข่าย!D178,IF('NO DELETE'!$P$7=3,โครงข่าย!D244,IF('NO DELETE'!$P$7=4,โครงข่าย!D310,โครงข่าย!D376))))</f>
        <v>0</v>
      </c>
      <c r="E46" s="88" t="str">
        <f>+IF('NO DELETE'!$P$7=1,โครงข่าย!E112,IF('NO DELETE'!$P$7=2,โครงข่าย!E178,IF('NO DELETE'!$P$7=3,โครงข่าย!E244,IF('NO DELETE'!$P$7=4,โครงข่าย!E310,โครงข่าย!E376))))</f>
        <v>มายอ</v>
      </c>
      <c r="F46" s="88" t="str">
        <f>+IF('NO DELETE'!$P$7=1,โครงข่าย!F112,IF('NO DELETE'!$P$7=2,โครงข่าย!F178,IF('NO DELETE'!$P$7=3,โครงข่าย!F244,IF('NO DELETE'!$P$7=4,โครงข่าย!F310,โครงข่าย!F376))))</f>
        <v>ปัตตานี</v>
      </c>
      <c r="G46" s="90">
        <f>+IF('NO DELETE'!$P$7=1,โครงข่าย!G112,IF('NO DELETE'!$P$7=2,โครงข่าย!G178,IF('NO DELETE'!$P$7=3,โครงข่าย!G244,IF('NO DELETE'!$P$7=4,โครงข่าย!G310,โครงข่าย!G376))))</f>
        <v>7.36</v>
      </c>
      <c r="H46" s="90">
        <f>+IF('NO DELETE'!$P$7=1,โครงข่าย!H112,IF('NO DELETE'!$P$7=2,โครงข่าย!H178,IF('NO DELETE'!$P$7=3,โครงข่าย!H244,IF('NO DELETE'!$P$7=4,โครงข่าย!H310,โครงข่าย!H376))))</f>
        <v>7.36</v>
      </c>
      <c r="I46" s="90">
        <f>+IF('NO DELETE'!$P$7=1,โครงข่าย!I112,IF('NO DELETE'!$P$7=2,โครงข่าย!I178,IF('NO DELETE'!$P$7=3,โครงข่าย!I244,IF('NO DELETE'!$P$7=4,โครงข่าย!I310,โครงข่าย!I376))))</f>
        <v>0</v>
      </c>
      <c r="J46" s="90">
        <f>+IF('NO DELETE'!$P$7=1,โครงข่าย!J112,IF('NO DELETE'!$P$7=2,โครงข่าย!J178,IF('NO DELETE'!$P$7=3,โครงข่าย!J244,IF('NO DELETE'!$P$7=4,โครงข่าย!J310,โครงข่าย!J376))))</f>
        <v>0</v>
      </c>
      <c r="K46" s="90">
        <f>+IF('NO DELETE'!$P$7=1,โครงข่าย!K112,IF('NO DELETE'!$P$7=2,โครงข่าย!K178,IF('NO DELETE'!$P$7=3,โครงข่าย!K244,IF('NO DELETE'!$P$7=4,โครงข่าย!K310,โครงข่าย!K376))))</f>
        <v>6.7587950000000001</v>
      </c>
      <c r="L46" s="90">
        <f>+IF('NO DELETE'!$P$7=1,โครงข่าย!L112,IF('NO DELETE'!$P$7=2,โครงข่าย!L178,IF('NO DELETE'!$P$7=3,โครงข่าย!L244,IF('NO DELETE'!$P$7=4,โครงข่าย!L310,โครงข่าย!L376))))</f>
        <v>101.477653</v>
      </c>
      <c r="M46" s="90">
        <f>+IF('NO DELETE'!$P$7=1,โครงข่าย!M112,IF('NO DELETE'!$P$7=2,โครงข่าย!M178,IF('NO DELETE'!$P$7=3,โครงข่าย!M244,IF('NO DELETE'!$P$7=4,โครงข่าย!M310,โครงข่าย!M376))))</f>
        <v>6.724723</v>
      </c>
      <c r="N46" s="90">
        <f>+IF('NO DELETE'!$P$7=1,โครงข่าย!N112,IF('NO DELETE'!$P$7=2,โครงข่าย!N178,IF('NO DELETE'!$P$7=3,โครงข่าย!N244,IF('NO DELETE'!$P$7=4,โครงข่าย!N310,โครงข่าย!N376))))</f>
        <v>101.423526</v>
      </c>
    </row>
    <row r="47" spans="1:14" s="24" customFormat="1">
      <c r="A47" s="68">
        <f t="shared" si="1"/>
        <v>41</v>
      </c>
      <c r="B47" s="88" t="str">
        <f>+IF('NO DELETE'!$P$7=1,โครงข่าย!B113,IF('NO DELETE'!$P$7=2,โครงข่าย!B179,IF('NO DELETE'!$P$7=3,โครงข่าย!B245,IF('NO DELETE'!$P$7=4,โครงข่าย!B311,โครงข่าย!B377))))</f>
        <v>ปน.2067</v>
      </c>
      <c r="C47" s="90" t="str">
        <f>+IF('NO DELETE'!$P$7=1,โครงข่าย!C113,IF('NO DELETE'!$P$7=2,โครงข่าย!C179,IF('NO DELETE'!$P$7=3,โครงข่าย!C245,IF('NO DELETE'!$P$7=4,โครงข่าย!C311,โครงข่าย!C377))))</f>
        <v>แยกทางหลวงหมายเลข 42 - บ้านตันหยง</v>
      </c>
      <c r="D47" s="90">
        <f>+IF('NO DELETE'!$P$7=1,โครงข่าย!D113,IF('NO DELETE'!$P$7=2,โครงข่าย!D179,IF('NO DELETE'!$P$7=3,โครงข่าย!D245,IF('NO DELETE'!$P$7=4,โครงข่าย!D311,โครงข่าย!D377))))</f>
        <v>0</v>
      </c>
      <c r="E47" s="88" t="str">
        <f>+IF('NO DELETE'!$P$7=1,โครงข่าย!E113,IF('NO DELETE'!$P$7=2,โครงข่าย!E179,IF('NO DELETE'!$P$7=3,โครงข่าย!E245,IF('NO DELETE'!$P$7=4,โครงข่าย!E311,โครงข่าย!E377))))</f>
        <v>ยะหริ่ง</v>
      </c>
      <c r="F47" s="88" t="str">
        <f>+IF('NO DELETE'!$P$7=1,โครงข่าย!F113,IF('NO DELETE'!$P$7=2,โครงข่าย!F179,IF('NO DELETE'!$P$7=3,โครงข่าย!F245,IF('NO DELETE'!$P$7=4,โครงข่าย!F311,โครงข่าย!F377))))</f>
        <v>ปัตตานี</v>
      </c>
      <c r="G47" s="90">
        <f>+IF('NO DELETE'!$P$7=1,โครงข่าย!G113,IF('NO DELETE'!$P$7=2,โครงข่าย!G179,IF('NO DELETE'!$P$7=3,โครงข่าย!G245,IF('NO DELETE'!$P$7=4,โครงข่าย!G311,โครงข่าย!G377))))</f>
        <v>13.157</v>
      </c>
      <c r="H47" s="90">
        <f>+IF('NO DELETE'!$P$7=1,โครงข่าย!H113,IF('NO DELETE'!$P$7=2,โครงข่าย!H179,IF('NO DELETE'!$P$7=3,โครงข่าย!H245,IF('NO DELETE'!$P$7=4,โครงข่าย!H311,โครงข่าย!H377))))</f>
        <v>0</v>
      </c>
      <c r="I47" s="90">
        <f>+IF('NO DELETE'!$P$7=1,โครงข่าย!I113,IF('NO DELETE'!$P$7=2,โครงข่าย!I179,IF('NO DELETE'!$P$7=3,โครงข่าย!I245,IF('NO DELETE'!$P$7=4,โครงข่าย!I311,โครงข่าย!I377))))</f>
        <v>13.157</v>
      </c>
      <c r="J47" s="90">
        <f>+IF('NO DELETE'!$P$7=1,โครงข่าย!J113,IF('NO DELETE'!$P$7=2,โครงข่าย!J179,IF('NO DELETE'!$P$7=3,โครงข่าย!J245,IF('NO DELETE'!$P$7=4,โครงข่าย!J311,โครงข่าย!J377))))</f>
        <v>0</v>
      </c>
      <c r="K47" s="90">
        <f>+IF('NO DELETE'!$P$7=1,โครงข่าย!K113,IF('NO DELETE'!$P$7=2,โครงข่าย!K179,IF('NO DELETE'!$P$7=3,โครงข่าย!K245,IF('NO DELETE'!$P$7=4,โครงข่าย!K311,โครงข่าย!K377))))</f>
        <v>6.8675499999999996</v>
      </c>
      <c r="L47" s="90">
        <f>+IF('NO DELETE'!$P$7=1,โครงข่าย!L113,IF('NO DELETE'!$P$7=2,โครงข่าย!L179,IF('NO DELETE'!$P$7=3,โครงข่าย!L245,IF('NO DELETE'!$P$7=4,โครงข่าย!L311,โครงข่าย!L377))))</f>
        <v>101.3357</v>
      </c>
      <c r="M47" s="90">
        <f>+IF('NO DELETE'!$P$7=1,โครงข่าย!M113,IF('NO DELETE'!$P$7=2,โครงข่าย!M179,IF('NO DELETE'!$P$7=3,โครงข่าย!M245,IF('NO DELETE'!$P$7=4,โครงข่าย!M311,โครงข่าย!M377))))</f>
        <v>6.8184199999999997</v>
      </c>
      <c r="N47" s="90">
        <f>+IF('NO DELETE'!$P$7=1,โครงข่าย!N113,IF('NO DELETE'!$P$7=2,โครงข่าย!N179,IF('NO DELETE'!$P$7=3,โครงข่าย!N245,IF('NO DELETE'!$P$7=4,โครงข่าย!N311,โครงข่าย!N377))))</f>
        <v>101.4092</v>
      </c>
    </row>
    <row r="48" spans="1:14" s="24" customFormat="1">
      <c r="A48" s="68">
        <f t="shared" si="1"/>
        <v>42</v>
      </c>
      <c r="B48" s="88" t="str">
        <f>+IF('NO DELETE'!$P$7=1,โครงข่าย!B114,IF('NO DELETE'!$P$7=2,โครงข่าย!B180,IF('NO DELETE'!$P$7=3,โครงข่าย!B246,IF('NO DELETE'!$P$7=4,โครงข่าย!B312,โครงข่าย!B378))))</f>
        <v>ปน.2068</v>
      </c>
      <c r="C48" s="90" t="str">
        <f>+IF('NO DELETE'!$P$7=1,โครงข่าย!C114,IF('NO DELETE'!$P$7=2,โครงข่าย!C180,IF('NO DELETE'!$P$7=3,โครงข่าย!C246,IF('NO DELETE'!$P$7=4,โครงข่าย!C312,โครงข่าย!C378))))</f>
        <v>แยกทางหลวงหมายเลข 42 -   บ้านท่ากูโบ</v>
      </c>
      <c r="D48" s="90">
        <f>+IF('NO DELETE'!$P$7=1,โครงข่าย!D114,IF('NO DELETE'!$P$7=2,โครงข่าย!D180,IF('NO DELETE'!$P$7=3,โครงข่าย!D246,IF('NO DELETE'!$P$7=4,โครงข่าย!D312,โครงข่าย!D378))))</f>
        <v>0</v>
      </c>
      <c r="E48" s="88" t="str">
        <f>+IF('NO DELETE'!$P$7=1,โครงข่าย!E114,IF('NO DELETE'!$P$7=2,โครงข่าย!E180,IF('NO DELETE'!$P$7=3,โครงข่าย!E246,IF('NO DELETE'!$P$7=4,โครงข่าย!E312,โครงข่าย!E378))))</f>
        <v>หนองจิก</v>
      </c>
      <c r="F48" s="88" t="str">
        <f>+IF('NO DELETE'!$P$7=1,โครงข่าย!F114,IF('NO DELETE'!$P$7=2,โครงข่าย!F180,IF('NO DELETE'!$P$7=3,โครงข่าย!F246,IF('NO DELETE'!$P$7=4,โครงข่าย!F312,โครงข่าย!F378))))</f>
        <v>ปัตตานี</v>
      </c>
      <c r="G48" s="90">
        <f>+IF('NO DELETE'!$P$7=1,โครงข่าย!G114,IF('NO DELETE'!$P$7=2,โครงข่าย!G180,IF('NO DELETE'!$P$7=3,โครงข่าย!G246,IF('NO DELETE'!$P$7=4,โครงข่าย!G312,โครงข่าย!G378))))</f>
        <v>8.25</v>
      </c>
      <c r="H48" s="90">
        <f>+IF('NO DELETE'!$P$7=1,โครงข่าย!H114,IF('NO DELETE'!$P$7=2,โครงข่าย!H180,IF('NO DELETE'!$P$7=3,โครงข่าย!H246,IF('NO DELETE'!$P$7=4,โครงข่าย!H312,โครงข่าย!H378))))</f>
        <v>0</v>
      </c>
      <c r="I48" s="90">
        <f>+IF('NO DELETE'!$P$7=1,โครงข่าย!I114,IF('NO DELETE'!$P$7=2,โครงข่าย!I180,IF('NO DELETE'!$P$7=3,โครงข่าย!I246,IF('NO DELETE'!$P$7=4,โครงข่าย!I312,โครงข่าย!I378))))</f>
        <v>8.25</v>
      </c>
      <c r="J48" s="90">
        <f>+IF('NO DELETE'!$P$7=1,โครงข่าย!J114,IF('NO DELETE'!$P$7=2,โครงข่าย!J180,IF('NO DELETE'!$P$7=3,โครงข่าย!J246,IF('NO DELETE'!$P$7=4,โครงข่าย!J312,โครงข่าย!J378))))</f>
        <v>0</v>
      </c>
      <c r="K48" s="90">
        <f>+IF('NO DELETE'!$P$7=1,โครงข่าย!K114,IF('NO DELETE'!$P$7=2,โครงข่าย!K180,IF('NO DELETE'!$P$7=3,โครงข่าย!K246,IF('NO DELETE'!$P$7=4,โครงข่าย!K312,โครงข่าย!K378))))</f>
        <v>6.7806699999999998</v>
      </c>
      <c r="L48" s="90">
        <f>+IF('NO DELETE'!$P$7=1,โครงข่าย!L114,IF('NO DELETE'!$P$7=2,โครงข่าย!L180,IF('NO DELETE'!$P$7=3,โครงข่าย!L246,IF('NO DELETE'!$P$7=4,โครงข่าย!L312,โครงข่าย!L378))))</f>
        <v>101.20283000000001</v>
      </c>
      <c r="M48" s="90">
        <f>+IF('NO DELETE'!$P$7=1,โครงข่าย!M114,IF('NO DELETE'!$P$7=2,โครงข่าย!M180,IF('NO DELETE'!$P$7=3,โครงข่าย!M246,IF('NO DELETE'!$P$7=4,โครงข่าย!M312,โครงข่าย!M378))))</f>
        <v>6.8528200000000004</v>
      </c>
      <c r="N48" s="90">
        <f>+IF('NO DELETE'!$P$7=1,โครงข่าย!N114,IF('NO DELETE'!$P$7=2,โครงข่าย!N180,IF('NO DELETE'!$P$7=3,โครงข่าย!N246,IF('NO DELETE'!$P$7=4,โครงข่าย!N312,โครงข่าย!N378))))</f>
        <v>101.20747</v>
      </c>
    </row>
    <row r="49" spans="1:14" s="24" customFormat="1">
      <c r="A49" s="68">
        <f t="shared" si="1"/>
        <v>43</v>
      </c>
      <c r="B49" s="88" t="str">
        <f>+IF('NO DELETE'!$P$7=1,โครงข่าย!B115,IF('NO DELETE'!$P$7=2,โครงข่าย!B181,IF('NO DELETE'!$P$7=3,โครงข่าย!B247,IF('NO DELETE'!$P$7=4,โครงข่าย!B313,โครงข่าย!B379))))</f>
        <v>ปน.6069</v>
      </c>
      <c r="C49" s="90" t="str">
        <f>+IF('NO DELETE'!$P$7=1,โครงข่าย!C115,IF('NO DELETE'!$P$7=2,โครงข่าย!C181,IF('NO DELETE'!$P$7=3,โครงข่าย!C247,IF('NO DELETE'!$P$7=4,โครงข่าย!C313,โครงข่าย!C379))))</f>
        <v>บ้านกอแลมิและ - บ้านบากง</v>
      </c>
      <c r="D49" s="90">
        <f>+IF('NO DELETE'!$P$7=1,โครงข่าย!D115,IF('NO DELETE'!$P$7=2,โครงข่าย!D181,IF('NO DELETE'!$P$7=3,โครงข่าย!D247,IF('NO DELETE'!$P$7=4,โครงข่าย!D313,โครงข่าย!D379))))</f>
        <v>0</v>
      </c>
      <c r="E49" s="88" t="str">
        <f>+IF('NO DELETE'!$P$7=1,โครงข่าย!E115,IF('NO DELETE'!$P$7=2,โครงข่าย!E181,IF('NO DELETE'!$P$7=3,โครงข่าย!E247,IF('NO DELETE'!$P$7=4,โครงข่าย!E313,โครงข่าย!E379))))</f>
        <v>ยะหริ่ง</v>
      </c>
      <c r="F49" s="88" t="str">
        <f>+IF('NO DELETE'!$P$7=1,โครงข่าย!F115,IF('NO DELETE'!$P$7=2,โครงข่าย!F181,IF('NO DELETE'!$P$7=3,โครงข่าย!F247,IF('NO DELETE'!$P$7=4,โครงข่าย!F313,โครงข่าย!F379))))</f>
        <v>ปัตตานี</v>
      </c>
      <c r="G49" s="90">
        <f>+IF('NO DELETE'!$P$7=1,โครงข่าย!G115,IF('NO DELETE'!$P$7=2,โครงข่าย!G181,IF('NO DELETE'!$P$7=3,โครงข่าย!G247,IF('NO DELETE'!$P$7=4,โครงข่าย!G313,โครงข่าย!G379))))</f>
        <v>6.7709999999999999</v>
      </c>
      <c r="H49" s="90">
        <f>+IF('NO DELETE'!$P$7=1,โครงข่าย!H115,IF('NO DELETE'!$P$7=2,โครงข่าย!H181,IF('NO DELETE'!$P$7=3,โครงข่าย!H247,IF('NO DELETE'!$P$7=4,โครงข่าย!H313,โครงข่าย!H379))))</f>
        <v>2.371</v>
      </c>
      <c r="I49" s="90">
        <f>+IF('NO DELETE'!$P$7=1,โครงข่าย!I115,IF('NO DELETE'!$P$7=2,โครงข่าย!I181,IF('NO DELETE'!$P$7=3,โครงข่าย!I247,IF('NO DELETE'!$P$7=4,โครงข่าย!I313,โครงข่าย!I379))))</f>
        <v>4.4000000000000004</v>
      </c>
      <c r="J49" s="90">
        <f>+IF('NO DELETE'!$P$7=1,โครงข่าย!J115,IF('NO DELETE'!$P$7=2,โครงข่าย!J181,IF('NO DELETE'!$P$7=3,โครงข่าย!J247,IF('NO DELETE'!$P$7=4,โครงข่าย!J313,โครงข่าย!J379))))</f>
        <v>0</v>
      </c>
      <c r="K49" s="90">
        <f>+IF('NO DELETE'!$P$7=1,โครงข่าย!K115,IF('NO DELETE'!$P$7=2,โครงข่าย!K181,IF('NO DELETE'!$P$7=3,โครงข่าย!K247,IF('NO DELETE'!$P$7=4,โครงข่าย!K313,โครงข่าย!K379))))</f>
        <v>6.8036269999999996</v>
      </c>
      <c r="L49" s="90">
        <f>+IF('NO DELETE'!$P$7=1,โครงข่าย!L115,IF('NO DELETE'!$P$7=2,โครงข่าย!L181,IF('NO DELETE'!$P$7=3,โครงข่าย!L247,IF('NO DELETE'!$P$7=4,โครงข่าย!L313,โครงข่าย!L379))))</f>
        <v>101.34354999999999</v>
      </c>
      <c r="M49" s="90">
        <f>+IF('NO DELETE'!$P$7=1,โครงข่าย!M115,IF('NO DELETE'!$P$7=2,โครงข่าย!M181,IF('NO DELETE'!$P$7=3,โครงข่าย!M247,IF('NO DELETE'!$P$7=4,โครงข่าย!M313,โครงข่าย!M379))))</f>
        <v>6.7816380000000001</v>
      </c>
      <c r="N49" s="90">
        <f>+IF('NO DELETE'!$P$7=1,โครงข่าย!N115,IF('NO DELETE'!$P$7=2,โครงข่าย!N181,IF('NO DELETE'!$P$7=3,โครงข่าย!N247,IF('NO DELETE'!$P$7=4,โครงข่าย!N313,โครงข่าย!N379))))</f>
        <v>101.397795</v>
      </c>
    </row>
    <row r="50" spans="1:14" s="24" customFormat="1">
      <c r="A50" s="68">
        <f t="shared" si="1"/>
        <v>44</v>
      </c>
      <c r="B50" s="88" t="str">
        <f>+IF('NO DELETE'!$P$7=1,โครงข่าย!B116,IF('NO DELETE'!$P$7=2,โครงข่าย!B182,IF('NO DELETE'!$P$7=3,โครงข่าย!B248,IF('NO DELETE'!$P$7=4,โครงข่าย!B314,โครงข่าย!B380))))</f>
        <v>ปน.2070</v>
      </c>
      <c r="C50" s="90" t="str">
        <f>+IF('NO DELETE'!$P$7=1,โครงข่าย!C116,IF('NO DELETE'!$P$7=2,โครงข่าย!C182,IF('NO DELETE'!$P$7=3,โครงข่าย!C248,IF('NO DELETE'!$P$7=4,โครงข่าย!C314,โครงข่าย!C380))))</f>
        <v>แยกทางหลวงหมายเลข 42 - บ้านปรัง</v>
      </c>
      <c r="D50" s="90">
        <f>+IF('NO DELETE'!$P$7=1,โครงข่าย!D116,IF('NO DELETE'!$P$7=2,โครงข่าย!D182,IF('NO DELETE'!$P$7=3,โครงข่าย!D248,IF('NO DELETE'!$P$7=4,โครงข่าย!D314,โครงข่าย!D380))))</f>
        <v>0</v>
      </c>
      <c r="E50" s="88" t="str">
        <f>+IF('NO DELETE'!$P$7=1,โครงข่าย!E116,IF('NO DELETE'!$P$7=2,โครงข่าย!E182,IF('NO DELETE'!$P$7=3,โครงข่าย!E248,IF('NO DELETE'!$P$7=4,โครงข่าย!E314,โครงข่าย!E380))))</f>
        <v>หนองจิก</v>
      </c>
      <c r="F50" s="88" t="str">
        <f>+IF('NO DELETE'!$P$7=1,โครงข่าย!F116,IF('NO DELETE'!$P$7=2,โครงข่าย!F182,IF('NO DELETE'!$P$7=3,โครงข่าย!F248,IF('NO DELETE'!$P$7=4,โครงข่าย!F314,โครงข่าย!F380))))</f>
        <v>ปัตตานี</v>
      </c>
      <c r="G50" s="90">
        <f>+IF('NO DELETE'!$P$7=1,โครงข่าย!G116,IF('NO DELETE'!$P$7=2,โครงข่าย!G182,IF('NO DELETE'!$P$7=3,โครงข่าย!G248,IF('NO DELETE'!$P$7=4,โครงข่าย!G314,โครงข่าย!G380))))</f>
        <v>17.875</v>
      </c>
      <c r="H50" s="90">
        <f>+IF('NO DELETE'!$P$7=1,โครงข่าย!H116,IF('NO DELETE'!$P$7=2,โครงข่าย!H182,IF('NO DELETE'!$P$7=3,โครงข่าย!H248,IF('NO DELETE'!$P$7=4,โครงข่าย!H314,โครงข่าย!H380))))</f>
        <v>0</v>
      </c>
      <c r="I50" s="90">
        <f>+IF('NO DELETE'!$P$7=1,โครงข่าย!I116,IF('NO DELETE'!$P$7=2,โครงข่าย!I182,IF('NO DELETE'!$P$7=3,โครงข่าย!I248,IF('NO DELETE'!$P$7=4,โครงข่าย!I314,โครงข่าย!I380))))</f>
        <v>17.242999999999999</v>
      </c>
      <c r="J50" s="90">
        <f>+IF('NO DELETE'!$P$7=1,โครงข่าย!J116,IF('NO DELETE'!$P$7=2,โครงข่าย!J182,IF('NO DELETE'!$P$7=3,โครงข่าย!J248,IF('NO DELETE'!$P$7=4,โครงข่าย!J314,โครงข่าย!J380))))</f>
        <v>0.63200000000000001</v>
      </c>
      <c r="K50" s="90">
        <f>+IF('NO DELETE'!$P$7=1,โครงข่าย!K116,IF('NO DELETE'!$P$7=2,โครงข่าย!K182,IF('NO DELETE'!$P$7=3,โครงข่าย!K248,IF('NO DELETE'!$P$7=4,โครงข่าย!K314,โครงข่าย!K380))))</f>
        <v>6.8173199999999996</v>
      </c>
      <c r="L50" s="90">
        <f>+IF('NO DELETE'!$P$7=1,โครงข่าย!L116,IF('NO DELETE'!$P$7=2,โครงข่าย!L182,IF('NO DELETE'!$P$7=3,โครงข่าย!L248,IF('NO DELETE'!$P$7=4,โครงข่าย!L314,โครงข่าย!L380))))</f>
        <v>101.07662999999999</v>
      </c>
      <c r="M50" s="90">
        <f>+IF('NO DELETE'!$P$7=1,โครงข่าย!M116,IF('NO DELETE'!$P$7=2,โครงข่าย!M182,IF('NO DELETE'!$P$7=3,โครงข่าย!M248,IF('NO DELETE'!$P$7=4,โครงข่าย!M314,โครงข่าย!M380))))</f>
        <v>6.8334400000000004</v>
      </c>
      <c r="N50" s="90">
        <f>+IF('NO DELETE'!$P$7=1,โครงข่าย!N116,IF('NO DELETE'!$P$7=2,โครงข่าย!N182,IF('NO DELETE'!$P$7=3,โครงข่าย!N248,IF('NO DELETE'!$P$7=4,โครงข่าย!N314,โครงข่าย!N380))))</f>
        <v>101.1673</v>
      </c>
    </row>
    <row r="51" spans="1:14" s="24" customFormat="1">
      <c r="A51" s="68">
        <f t="shared" si="1"/>
        <v>45</v>
      </c>
      <c r="B51" s="88" t="str">
        <f>+IF('NO DELETE'!$P$7=1,โครงข่าย!B117,IF('NO DELETE'!$P$7=2,โครงข่าย!B183,IF('NO DELETE'!$P$7=3,โครงข่าย!B249,IF('NO DELETE'!$P$7=4,โครงข่าย!B315,โครงข่าย!B381))))</f>
        <v>ปน.2071</v>
      </c>
      <c r="C51" s="90" t="str">
        <f>+IF('NO DELETE'!$P$7=1,โครงข่าย!C117,IF('NO DELETE'!$P$7=2,โครงข่าย!C183,IF('NO DELETE'!$P$7=3,โครงข่าย!C249,IF('NO DELETE'!$P$7=4,โครงข่าย!C315,โครงข่าย!C381))))</f>
        <v>แยกทางหลวงหมายเลข 3071 -  บ้านภูมี</v>
      </c>
      <c r="D51" s="90">
        <f>+IF('NO DELETE'!$P$7=1,โครงข่าย!D117,IF('NO DELETE'!$P$7=2,โครงข่าย!D183,IF('NO DELETE'!$P$7=3,โครงข่าย!D249,IF('NO DELETE'!$P$7=4,โครงข่าย!D315,โครงข่าย!D381))))</f>
        <v>0</v>
      </c>
      <c r="E51" s="88" t="str">
        <f>+IF('NO DELETE'!$P$7=1,โครงข่าย!E117,IF('NO DELETE'!$P$7=2,โครงข่าย!E183,IF('NO DELETE'!$P$7=3,โครงข่าย!E249,IF('NO DELETE'!$P$7=4,โครงข่าย!E315,โครงข่าย!E381))))</f>
        <v>เมือง, ยะรัง, ยะหริ่ง</v>
      </c>
      <c r="F51" s="88" t="str">
        <f>+IF('NO DELETE'!$P$7=1,โครงข่าย!F117,IF('NO DELETE'!$P$7=2,โครงข่าย!F183,IF('NO DELETE'!$P$7=3,โครงข่าย!F249,IF('NO DELETE'!$P$7=4,โครงข่าย!F315,โครงข่าย!F381))))</f>
        <v>ปัตตานี</v>
      </c>
      <c r="G51" s="90">
        <f>+IF('NO DELETE'!$P$7=1,โครงข่าย!G117,IF('NO DELETE'!$P$7=2,โครงข่าย!G183,IF('NO DELETE'!$P$7=3,โครงข่าย!G249,IF('NO DELETE'!$P$7=4,โครงข่าย!G315,โครงข่าย!G381))))</f>
        <v>10.272</v>
      </c>
      <c r="H51" s="90">
        <f>+IF('NO DELETE'!$P$7=1,โครงข่าย!H117,IF('NO DELETE'!$P$7=2,โครงข่าย!H183,IF('NO DELETE'!$P$7=3,โครงข่าย!H249,IF('NO DELETE'!$P$7=4,โครงข่าย!H315,โครงข่าย!H381))))</f>
        <v>0</v>
      </c>
      <c r="I51" s="90">
        <f>+IF('NO DELETE'!$P$7=1,โครงข่าย!I117,IF('NO DELETE'!$P$7=2,โครงข่าย!I183,IF('NO DELETE'!$P$7=3,โครงข่าย!I249,IF('NO DELETE'!$P$7=4,โครงข่าย!I315,โครงข่าย!I381))))</f>
        <v>10.272</v>
      </c>
      <c r="J51" s="90">
        <f>+IF('NO DELETE'!$P$7=1,โครงข่าย!J117,IF('NO DELETE'!$P$7=2,โครงข่าย!J183,IF('NO DELETE'!$P$7=3,โครงข่าย!J249,IF('NO DELETE'!$P$7=4,โครงข่าย!J315,โครงข่าย!J381))))</f>
        <v>0</v>
      </c>
      <c r="K51" s="90">
        <f>+IF('NO DELETE'!$P$7=1,โครงข่าย!K117,IF('NO DELETE'!$P$7=2,โครงข่าย!K183,IF('NO DELETE'!$P$7=3,โครงข่าย!K249,IF('NO DELETE'!$P$7=4,โครงข่าย!K315,โครงข่าย!K381))))</f>
        <v>6.8151999999999999</v>
      </c>
      <c r="L51" s="90">
        <f>+IF('NO DELETE'!$P$7=1,โครงข่าย!L117,IF('NO DELETE'!$P$7=2,โครงข่าย!L183,IF('NO DELETE'!$P$7=3,โครงข่าย!L249,IF('NO DELETE'!$P$7=4,โครงข่าย!L315,โครงข่าย!L381))))</f>
        <v>101.28407</v>
      </c>
      <c r="M51" s="90">
        <f>+IF('NO DELETE'!$P$7=1,โครงข่าย!M117,IF('NO DELETE'!$P$7=2,โครงข่าย!M183,IF('NO DELETE'!$P$7=3,โครงข่าย!M249,IF('NO DELETE'!$P$7=4,โครงข่าย!M315,โครงข่าย!M381))))</f>
        <v>6.8580399999999999</v>
      </c>
      <c r="N51" s="90">
        <f>+IF('NO DELETE'!$P$7=1,โครงข่าย!N117,IF('NO DELETE'!$P$7=2,โครงข่าย!N183,IF('NO DELETE'!$P$7=3,โครงข่าย!N249,IF('NO DELETE'!$P$7=4,โครงข่าย!N315,โครงข่าย!N381))))</f>
        <v>101.36237</v>
      </c>
    </row>
    <row r="52" spans="1:14" s="24" customFormat="1">
      <c r="A52" s="68">
        <f t="shared" si="1"/>
        <v>46</v>
      </c>
      <c r="B52" s="88" t="str">
        <f>+IF('NO DELETE'!$P$7=1,โครงข่าย!B118,IF('NO DELETE'!$P$7=2,โครงข่าย!B184,IF('NO DELETE'!$P$7=3,โครงข่าย!B250,IF('NO DELETE'!$P$7=4,โครงข่าย!B316,โครงข่าย!B382))))</f>
        <v>ปน.6072</v>
      </c>
      <c r="C52" s="90" t="str">
        <f>+IF('NO DELETE'!$P$7=1,โครงข่าย!C118,IF('NO DELETE'!$P$7=2,โครงข่าย!C184,IF('NO DELETE'!$P$7=3,โครงข่าย!C250,IF('NO DELETE'!$P$7=4,โครงข่าย!C316,โครงข่าย!C382))))</f>
        <v>บ้านลานควาย - บ้านละหารยามู</v>
      </c>
      <c r="D52" s="90">
        <f>+IF('NO DELETE'!$P$7=1,โครงข่าย!D118,IF('NO DELETE'!$P$7=2,โครงข่าย!D184,IF('NO DELETE'!$P$7=3,โครงข่าย!D250,IF('NO DELETE'!$P$7=4,โครงข่าย!D316,โครงข่าย!D382))))</f>
        <v>0</v>
      </c>
      <c r="E52" s="88" t="str">
        <f>+IF('NO DELETE'!$P$7=1,โครงข่าย!E118,IF('NO DELETE'!$P$7=2,โครงข่าย!E184,IF('NO DELETE'!$P$7=3,โครงข่าย!E250,IF('NO DELETE'!$P$7=4,โครงข่าย!E316,โครงข่าย!E382))))</f>
        <v>ยะรัง</v>
      </c>
      <c r="F52" s="88" t="str">
        <f>+IF('NO DELETE'!$P$7=1,โครงข่าย!F118,IF('NO DELETE'!$P$7=2,โครงข่าย!F184,IF('NO DELETE'!$P$7=3,โครงข่าย!F250,IF('NO DELETE'!$P$7=4,โครงข่าย!F316,โครงข่าย!F382))))</f>
        <v>ปัตตานี</v>
      </c>
      <c r="G52" s="90">
        <f>+IF('NO DELETE'!$P$7=1,โครงข่าย!G118,IF('NO DELETE'!$P$7=2,โครงข่าย!G184,IF('NO DELETE'!$P$7=3,โครงข่าย!G250,IF('NO DELETE'!$P$7=4,โครงข่าย!G316,โครงข่าย!G382))))</f>
        <v>5.3579999999999997</v>
      </c>
      <c r="H52" s="90">
        <f>+IF('NO DELETE'!$P$7=1,โครงข่าย!H118,IF('NO DELETE'!$P$7=2,โครงข่าย!H184,IF('NO DELETE'!$P$7=3,โครงข่าย!H250,IF('NO DELETE'!$P$7=4,โครงข่าย!H316,โครงข่าย!H382))))</f>
        <v>0</v>
      </c>
      <c r="I52" s="90">
        <f>+IF('NO DELETE'!$P$7=1,โครงข่าย!I118,IF('NO DELETE'!$P$7=2,โครงข่าย!I184,IF('NO DELETE'!$P$7=3,โครงข่าย!I250,IF('NO DELETE'!$P$7=4,โครงข่าย!I316,โครงข่าย!I382))))</f>
        <v>5.3579999999999997</v>
      </c>
      <c r="J52" s="90">
        <f>+IF('NO DELETE'!$P$7=1,โครงข่าย!J118,IF('NO DELETE'!$P$7=2,โครงข่าย!J184,IF('NO DELETE'!$P$7=3,โครงข่าย!J250,IF('NO DELETE'!$P$7=4,โครงข่าย!J316,โครงข่าย!J382))))</f>
        <v>0</v>
      </c>
      <c r="K52" s="90">
        <f>+IF('NO DELETE'!$P$7=1,โครงข่าย!K118,IF('NO DELETE'!$P$7=2,โครงข่าย!K184,IF('NO DELETE'!$P$7=3,โครงข่าย!K250,IF('NO DELETE'!$P$7=4,โครงข่าย!K316,โครงข่าย!K382))))</f>
        <v>6.6420110000000001</v>
      </c>
      <c r="L52" s="90">
        <f>+IF('NO DELETE'!$P$7=1,โครงข่าย!L118,IF('NO DELETE'!$P$7=2,โครงข่าย!L184,IF('NO DELETE'!$P$7=3,โครงข่าย!L250,IF('NO DELETE'!$P$7=4,โครงข่าย!L316,โครงข่าย!L382))))</f>
        <v>101.331706</v>
      </c>
      <c r="M52" s="90">
        <f>+IF('NO DELETE'!$P$7=1,โครงข่าย!M118,IF('NO DELETE'!$P$7=2,โครงข่าย!M184,IF('NO DELETE'!$P$7=3,โครงข่าย!M250,IF('NO DELETE'!$P$7=4,โครงข่าย!M316,โครงข่าย!M382))))</f>
        <v>6.6815670000000003</v>
      </c>
      <c r="N52" s="90">
        <f>+IF('NO DELETE'!$P$7=1,โครงข่าย!N118,IF('NO DELETE'!$P$7=2,โครงข่าย!N184,IF('NO DELETE'!$P$7=3,โครงข่าย!N250,IF('NO DELETE'!$P$7=4,โครงข่าย!N316,โครงข่าย!N382))))</f>
        <v>101.325869</v>
      </c>
    </row>
    <row r="53" spans="1:14" s="24" customFormat="1">
      <c r="A53" s="68">
        <f t="shared" si="1"/>
        <v>47</v>
      </c>
      <c r="B53" s="88" t="str">
        <f>+IF('NO DELETE'!$P$7=1,โครงข่าย!B119,IF('NO DELETE'!$P$7=2,โครงข่าย!B185,IF('NO DELETE'!$P$7=3,โครงข่าย!B251,IF('NO DELETE'!$P$7=4,โครงข่าย!B317,โครงข่าย!B383))))</f>
        <v>ปน.6073</v>
      </c>
      <c r="C53" s="90" t="str">
        <f>+IF('NO DELETE'!$P$7=1,โครงข่าย!C119,IF('NO DELETE'!$P$7=2,โครงข่าย!C185,IF('NO DELETE'!$P$7=3,โครงข่าย!C251,IF('NO DELETE'!$P$7=4,โครงข่าย!C317,โครงข่าย!C383))))</f>
        <v>บ้านกาแลสะนอ - บ้านคลองช้าง</v>
      </c>
      <c r="D53" s="90">
        <f>+IF('NO DELETE'!$P$7=1,โครงข่าย!D119,IF('NO DELETE'!$P$7=2,โครงข่าย!D185,IF('NO DELETE'!$P$7=3,โครงข่าย!D251,IF('NO DELETE'!$P$7=4,โครงข่าย!D317,โครงข่าย!D383))))</f>
        <v>0</v>
      </c>
      <c r="E53" s="88" t="str">
        <f>+IF('NO DELETE'!$P$7=1,โครงข่าย!E119,IF('NO DELETE'!$P$7=2,โครงข่าย!E185,IF('NO DELETE'!$P$7=3,โครงข่าย!E251,IF('NO DELETE'!$P$7=4,โครงข่าย!E317,โครงข่าย!E383))))</f>
        <v>ยะรัง</v>
      </c>
      <c r="F53" s="88" t="str">
        <f>+IF('NO DELETE'!$P$7=1,โครงข่าย!F119,IF('NO DELETE'!$P$7=2,โครงข่าย!F185,IF('NO DELETE'!$P$7=3,โครงข่าย!F251,IF('NO DELETE'!$P$7=4,โครงข่าย!F317,โครงข่าย!F383))))</f>
        <v>ปัตตานี</v>
      </c>
      <c r="G53" s="90">
        <f>+IF('NO DELETE'!$P$7=1,โครงข่าย!G119,IF('NO DELETE'!$P$7=2,โครงข่าย!G185,IF('NO DELETE'!$P$7=3,โครงข่าย!G251,IF('NO DELETE'!$P$7=4,โครงข่าย!G317,โครงข่าย!G383))))</f>
        <v>1.4</v>
      </c>
      <c r="H53" s="90">
        <f>+IF('NO DELETE'!$P$7=1,โครงข่าย!H119,IF('NO DELETE'!$P$7=2,โครงข่าย!H185,IF('NO DELETE'!$P$7=3,โครงข่าย!H251,IF('NO DELETE'!$P$7=4,โครงข่าย!H317,โครงข่าย!H383))))</f>
        <v>0</v>
      </c>
      <c r="I53" s="90">
        <f>+IF('NO DELETE'!$P$7=1,โครงข่าย!I119,IF('NO DELETE'!$P$7=2,โครงข่าย!I185,IF('NO DELETE'!$P$7=3,โครงข่าย!I251,IF('NO DELETE'!$P$7=4,โครงข่าย!I317,โครงข่าย!I383))))</f>
        <v>1.4</v>
      </c>
      <c r="J53" s="90">
        <f>+IF('NO DELETE'!$P$7=1,โครงข่าย!J119,IF('NO DELETE'!$P$7=2,โครงข่าย!J185,IF('NO DELETE'!$P$7=3,โครงข่าย!J251,IF('NO DELETE'!$P$7=4,โครงข่าย!J317,โครงข่าย!J383))))</f>
        <v>0</v>
      </c>
      <c r="K53" s="90">
        <f>+IF('NO DELETE'!$P$7=1,โครงข่าย!K119,IF('NO DELETE'!$P$7=2,โครงข่าย!K185,IF('NO DELETE'!$P$7=3,โครงข่าย!K251,IF('NO DELETE'!$P$7=4,โครงข่าย!K317,โครงข่าย!K383))))</f>
        <v>6.7389570000000001</v>
      </c>
      <c r="L53" s="90">
        <f>+IF('NO DELETE'!$P$7=1,โครงข่าย!L119,IF('NO DELETE'!$P$7=2,โครงข่าย!L185,IF('NO DELETE'!$P$7=3,โครงข่าย!L251,IF('NO DELETE'!$P$7=4,โครงข่าย!L317,โครงข่าย!L383))))</f>
        <v>101.252774</v>
      </c>
      <c r="M53" s="90">
        <f>+IF('NO DELETE'!$P$7=1,โครงข่าย!M119,IF('NO DELETE'!$P$7=2,โครงข่าย!M185,IF('NO DELETE'!$P$7=3,โครงข่าย!M251,IF('NO DELETE'!$P$7=4,โครงข่าย!M317,โครงข่าย!M383))))</f>
        <v>6.748354</v>
      </c>
      <c r="N53" s="90">
        <f>+IF('NO DELETE'!$P$7=1,โครงข่าย!N119,IF('NO DELETE'!$P$7=2,โครงข่าย!N185,IF('NO DELETE'!$P$7=3,โครงข่าย!N251,IF('NO DELETE'!$P$7=4,โครงข่าย!N317,โครงข่าย!N383))))</f>
        <v>101.246948</v>
      </c>
    </row>
    <row r="54" spans="1:14" s="24" customFormat="1">
      <c r="A54" s="68">
        <f t="shared" si="1"/>
        <v>48</v>
      </c>
      <c r="B54" s="88" t="str">
        <f>+IF('NO DELETE'!$P$7=1,โครงข่าย!B120,IF('NO DELETE'!$P$7=2,โครงข่าย!B186,IF('NO DELETE'!$P$7=3,โครงข่าย!B252,IF('NO DELETE'!$P$7=4,โครงข่าย!B318,โครงข่าย!B384))))</f>
        <v>ปน.6074</v>
      </c>
      <c r="C54" s="90" t="str">
        <f>+IF('NO DELETE'!$P$7=1,โครงข่าย!C120,IF('NO DELETE'!$P$7=2,โครงข่าย!C186,IF('NO DELETE'!$P$7=3,โครงข่าย!C252,IF('NO DELETE'!$P$7=4,โครงข่าย!C318,โครงข่าย!C384))))</f>
        <v>สายบ้านจะแบปะ - บ้านเกาะหวาย</v>
      </c>
      <c r="D54" s="90">
        <f>+IF('NO DELETE'!$P$7=1,โครงข่าย!D120,IF('NO DELETE'!$P$7=2,โครงข่าย!D186,IF('NO DELETE'!$P$7=3,โครงข่าย!D252,IF('NO DELETE'!$P$7=4,โครงข่าย!D318,โครงข่าย!D384))))</f>
        <v>0</v>
      </c>
      <c r="E54" s="88" t="str">
        <f>+IF('NO DELETE'!$P$7=1,โครงข่าย!E120,IF('NO DELETE'!$P$7=2,โครงข่าย!E186,IF('NO DELETE'!$P$7=3,โครงข่าย!E252,IF('NO DELETE'!$P$7=4,โครงข่าย!E318,โครงข่าย!E384))))</f>
        <v>ยะรัง</v>
      </c>
      <c r="F54" s="88" t="str">
        <f>+IF('NO DELETE'!$P$7=1,โครงข่าย!F120,IF('NO DELETE'!$P$7=2,โครงข่าย!F186,IF('NO DELETE'!$P$7=3,โครงข่าย!F252,IF('NO DELETE'!$P$7=4,โครงข่าย!F318,โครงข่าย!F384))))</f>
        <v>ปัตตานี</v>
      </c>
      <c r="G54" s="90">
        <f>+IF('NO DELETE'!$P$7=1,โครงข่าย!G120,IF('NO DELETE'!$P$7=2,โครงข่าย!G186,IF('NO DELETE'!$P$7=3,โครงข่าย!G252,IF('NO DELETE'!$P$7=4,โครงข่าย!G318,โครงข่าย!G384))))</f>
        <v>2.669</v>
      </c>
      <c r="H54" s="90">
        <f>+IF('NO DELETE'!$P$7=1,โครงข่าย!H120,IF('NO DELETE'!$P$7=2,โครงข่าย!H186,IF('NO DELETE'!$P$7=3,โครงข่าย!H252,IF('NO DELETE'!$P$7=4,โครงข่าย!H318,โครงข่าย!H384))))</f>
        <v>0</v>
      </c>
      <c r="I54" s="90">
        <f>+IF('NO DELETE'!$P$7=1,โครงข่าย!I120,IF('NO DELETE'!$P$7=2,โครงข่าย!I186,IF('NO DELETE'!$P$7=3,โครงข่าย!I252,IF('NO DELETE'!$P$7=4,โครงข่าย!I318,โครงข่าย!I384))))</f>
        <v>2.669</v>
      </c>
      <c r="J54" s="90">
        <f>+IF('NO DELETE'!$P$7=1,โครงข่าย!J120,IF('NO DELETE'!$P$7=2,โครงข่าย!J186,IF('NO DELETE'!$P$7=3,โครงข่าย!J252,IF('NO DELETE'!$P$7=4,โครงข่าย!J318,โครงข่าย!J384))))</f>
        <v>0</v>
      </c>
      <c r="K54" s="90">
        <f>+IF('NO DELETE'!$P$7=1,โครงข่าย!K120,IF('NO DELETE'!$P$7=2,โครงข่าย!K186,IF('NO DELETE'!$P$7=3,โครงข่าย!K252,IF('NO DELETE'!$P$7=4,โครงข่าย!K318,โครงข่าย!K384))))</f>
        <v>6.7519770000000001</v>
      </c>
      <c r="L54" s="90">
        <f>+IF('NO DELETE'!$P$7=1,โครงข่าย!L120,IF('NO DELETE'!$P$7=2,โครงข่าย!L186,IF('NO DELETE'!$P$7=3,โครงข่าย!L252,IF('NO DELETE'!$P$7=4,โครงข่าย!L318,โครงข่าย!L384))))</f>
        <v>101.321406</v>
      </c>
      <c r="M54" s="90">
        <f>+IF('NO DELETE'!$P$7=1,โครงข่าย!M120,IF('NO DELETE'!$P$7=2,โครงข่าย!M186,IF('NO DELETE'!$P$7=3,โครงข่าย!M252,IF('NO DELETE'!$P$7=4,โครงข่าย!M318,โครงข่าย!M384))))</f>
        <v>6.729304</v>
      </c>
      <c r="N54" s="90">
        <f>+IF('NO DELETE'!$P$7=1,โครงข่าย!N120,IF('NO DELETE'!$P$7=2,โครงข่าย!N186,IF('NO DELETE'!$P$7=3,โครงข่าย!N252,IF('NO DELETE'!$P$7=4,โครงข่าย!N318,โครงข่าย!N384))))</f>
        <v>101.319174</v>
      </c>
    </row>
    <row r="55" spans="1:14" s="24" customFormat="1">
      <c r="A55" s="68">
        <f t="shared" si="1"/>
        <v>49</v>
      </c>
      <c r="B55" s="88" t="str">
        <f>+IF('NO DELETE'!$P$7=1,โครงข่าย!B121,IF('NO DELETE'!$P$7=2,โครงข่าย!B187,IF('NO DELETE'!$P$7=3,โครงข่าย!B253,IF('NO DELETE'!$P$7=4,โครงข่าย!B319,โครงข่าย!B385))))</f>
        <v>ปน.6075</v>
      </c>
      <c r="C55" s="90" t="str">
        <f>+IF('NO DELETE'!$P$7=1,โครงข่าย!C121,IF('NO DELETE'!$P$7=2,โครงข่าย!C187,IF('NO DELETE'!$P$7=3,โครงข่าย!C253,IF('NO DELETE'!$P$7=4,โครงข่าย!C319,โครงข่าย!C385))))</f>
        <v>อีบุสะบารัง - ซูงาฆอแระ</v>
      </c>
      <c r="D55" s="90" t="str">
        <f>+IF('NO DELETE'!$P$7=1,โครงข่าย!D121,IF('NO DELETE'!$P$7=2,โครงข่าย!D187,IF('NO DELETE'!$P$7=3,โครงข่าย!D253,IF('NO DELETE'!$P$7=4,โครงข่าย!D319,โครงข่าย!D385))))</f>
        <v>ประจัน</v>
      </c>
      <c r="E55" s="88" t="str">
        <f>+IF('NO DELETE'!$P$7=1,โครงข่าย!E121,IF('NO DELETE'!$P$7=2,โครงข่าย!E187,IF('NO DELETE'!$P$7=3,โครงข่าย!E253,IF('NO DELETE'!$P$7=4,โครงข่าย!E319,โครงข่าย!E385))))</f>
        <v>ยะรัง</v>
      </c>
      <c r="F55" s="88" t="str">
        <f>+IF('NO DELETE'!$P$7=1,โครงข่าย!F121,IF('NO DELETE'!$P$7=2,โครงข่าย!F187,IF('NO DELETE'!$P$7=3,โครงข่าย!F253,IF('NO DELETE'!$P$7=4,โครงข่าย!F319,โครงข่าย!F385))))</f>
        <v>ปัตตานี</v>
      </c>
      <c r="G55" s="90">
        <f>+IF('NO DELETE'!$P$7=1,โครงข่าย!G121,IF('NO DELETE'!$P$7=2,โครงข่าย!G187,IF('NO DELETE'!$P$7=3,โครงข่าย!G253,IF('NO DELETE'!$P$7=4,โครงข่าย!G319,โครงข่าย!G385))))</f>
        <v>0.5</v>
      </c>
      <c r="H55" s="90">
        <f>+IF('NO DELETE'!$P$7=1,โครงข่าย!H121,IF('NO DELETE'!$P$7=2,โครงข่าย!H187,IF('NO DELETE'!$P$7=3,โครงข่าย!H253,IF('NO DELETE'!$P$7=4,โครงข่าย!H319,โครงข่าย!H385))))</f>
        <v>0</v>
      </c>
      <c r="I55" s="90">
        <f>+IF('NO DELETE'!$P$7=1,โครงข่าย!I121,IF('NO DELETE'!$P$7=2,โครงข่าย!I187,IF('NO DELETE'!$P$7=3,โครงข่าย!I253,IF('NO DELETE'!$P$7=4,โครงข่าย!I319,โครงข่าย!I385))))</f>
        <v>0</v>
      </c>
      <c r="J55" s="90">
        <f>+IF('NO DELETE'!$P$7=1,โครงข่าย!J121,IF('NO DELETE'!$P$7=2,โครงข่าย!J187,IF('NO DELETE'!$P$7=3,โครงข่าย!J253,IF('NO DELETE'!$P$7=4,โครงข่าย!J319,โครงข่าย!J385))))</f>
        <v>0.5</v>
      </c>
      <c r="K55" s="90">
        <f>+IF('NO DELETE'!$P$7=1,โครงข่าย!K121,IF('NO DELETE'!$P$7=2,โครงข่าย!K187,IF('NO DELETE'!$P$7=3,โครงข่าย!K253,IF('NO DELETE'!$P$7=4,โครงข่าย!K319,โครงข่าย!K385))))</f>
        <v>6.7907359999999999</v>
      </c>
      <c r="L55" s="90">
        <f>+IF('NO DELETE'!$P$7=1,โครงข่าย!L121,IF('NO DELETE'!$P$7=2,โครงข่าย!L187,IF('NO DELETE'!$P$7=3,โครงข่าย!L253,IF('NO DELETE'!$P$7=4,โครงข่าย!L319,โครงข่าย!L385))))</f>
        <v>101.293736</v>
      </c>
      <c r="M55" s="90">
        <f>+IF('NO DELETE'!$P$7=1,โครงข่าย!M121,IF('NO DELETE'!$P$7=2,โครงข่าย!M187,IF('NO DELETE'!$P$7=3,โครงข่าย!M253,IF('NO DELETE'!$P$7=4,โครงข่าย!M319,โครงข่าย!M385))))</f>
        <v>6.7925269999999998</v>
      </c>
      <c r="N55" s="90">
        <f>+IF('NO DELETE'!$P$7=1,โครงข่าย!N121,IF('NO DELETE'!$P$7=2,โครงข่าย!N187,IF('NO DELETE'!$P$7=3,โครงข่าย!N253,IF('NO DELETE'!$P$7=4,โครงข่าย!N319,โครงข่าย!N385))))</f>
        <v>101.29398</v>
      </c>
    </row>
    <row r="56" spans="1:14" s="24" customFormat="1">
      <c r="A56" s="68">
        <f t="shared" si="1"/>
        <v>50</v>
      </c>
      <c r="B56" s="88" t="str">
        <f>+IF('NO DELETE'!$P$7=1,โครงข่าย!B122,IF('NO DELETE'!$P$7=2,โครงข่าย!B188,IF('NO DELETE'!$P$7=3,โครงข่าย!B254,IF('NO DELETE'!$P$7=4,โครงข่าย!B320,โครงข่าย!B386))))</f>
        <v>ปน.6076</v>
      </c>
      <c r="C56" s="90" t="str">
        <f>+IF('NO DELETE'!$P$7=1,โครงข่าย!C122,IF('NO DELETE'!$P$7=2,โครงข่าย!C188,IF('NO DELETE'!$P$7=3,โครงข่าย!C254,IF('NO DELETE'!$P$7=4,โครงข่าย!C320,โครงข่าย!C386))))</f>
        <v>ปีตูนายี - ปูโก๊ะ</v>
      </c>
      <c r="D56" s="90" t="str">
        <f>+IF('NO DELETE'!$P$7=1,โครงข่าย!D122,IF('NO DELETE'!$P$7=2,โครงข่าย!D188,IF('NO DELETE'!$P$7=3,โครงข่าย!D254,IF('NO DELETE'!$P$7=4,โครงข่าย!D320,โครงข่าย!D386))))</f>
        <v>ประจัน</v>
      </c>
      <c r="E56" s="88" t="str">
        <f>+IF('NO DELETE'!$P$7=1,โครงข่าย!E122,IF('NO DELETE'!$P$7=2,โครงข่าย!E188,IF('NO DELETE'!$P$7=3,โครงข่าย!E254,IF('NO DELETE'!$P$7=4,โครงข่าย!E320,โครงข่าย!E386))))</f>
        <v>ยะรัง</v>
      </c>
      <c r="F56" s="88" t="str">
        <f>+IF('NO DELETE'!$P$7=1,โครงข่าย!F122,IF('NO DELETE'!$P$7=2,โครงข่าย!F188,IF('NO DELETE'!$P$7=3,โครงข่าย!F254,IF('NO DELETE'!$P$7=4,โครงข่าย!F320,โครงข่าย!F386))))</f>
        <v>ปัตตานี</v>
      </c>
      <c r="G56" s="90">
        <f>+IF('NO DELETE'!$P$7=1,โครงข่าย!G122,IF('NO DELETE'!$P$7=2,โครงข่าย!G188,IF('NO DELETE'!$P$7=3,โครงข่าย!G254,IF('NO DELETE'!$P$7=4,โครงข่าย!G320,โครงข่าย!G386))))</f>
        <v>0.91500000000000004</v>
      </c>
      <c r="H56" s="90">
        <f>+IF('NO DELETE'!$P$7=1,โครงข่าย!H122,IF('NO DELETE'!$P$7=2,โครงข่าย!H188,IF('NO DELETE'!$P$7=3,โครงข่าย!H254,IF('NO DELETE'!$P$7=4,โครงข่าย!H320,โครงข่าย!H386))))</f>
        <v>0</v>
      </c>
      <c r="I56" s="90">
        <f>+IF('NO DELETE'!$P$7=1,โครงข่าย!I122,IF('NO DELETE'!$P$7=2,โครงข่าย!I188,IF('NO DELETE'!$P$7=3,โครงข่าย!I254,IF('NO DELETE'!$P$7=4,โครงข่าย!I320,โครงข่าย!I386))))</f>
        <v>0</v>
      </c>
      <c r="J56" s="90">
        <f>+IF('NO DELETE'!$P$7=1,โครงข่าย!J122,IF('NO DELETE'!$P$7=2,โครงข่าย!J188,IF('NO DELETE'!$P$7=3,โครงข่าย!J254,IF('NO DELETE'!$P$7=4,โครงข่าย!J320,โครงข่าย!J386))))</f>
        <v>0.91500000000000004</v>
      </c>
      <c r="K56" s="90">
        <f>+IF('NO DELETE'!$P$7=1,โครงข่าย!K122,IF('NO DELETE'!$P$7=2,โครงข่าย!K188,IF('NO DELETE'!$P$7=3,โครงข่าย!K254,IF('NO DELETE'!$P$7=4,โครงข่าย!K320,โครงข่าย!K386))))</f>
        <v>6.764443</v>
      </c>
      <c r="L56" s="90">
        <f>+IF('NO DELETE'!$P$7=1,โครงข่าย!L122,IF('NO DELETE'!$P$7=2,โครงข่าย!L188,IF('NO DELETE'!$P$7=3,โครงข่าย!L254,IF('NO DELETE'!$P$7=4,โครงข่าย!L320,โครงข่าย!L386))))</f>
        <v>101.293736</v>
      </c>
      <c r="M56" s="90">
        <f>+IF('NO DELETE'!$P$7=1,โครงข่าย!M122,IF('NO DELETE'!$P$7=2,โครงข่าย!M188,IF('NO DELETE'!$P$7=3,โครงข่าย!M254,IF('NO DELETE'!$P$7=4,โครงข่าย!M320,โครงข่าย!M386))))</f>
        <v>6.8075999999999999</v>
      </c>
      <c r="N56" s="90">
        <f>+IF('NO DELETE'!$P$7=1,โครงข่าย!N122,IF('NO DELETE'!$P$7=2,โครงข่าย!N188,IF('NO DELETE'!$P$7=3,โครงข่าย!N254,IF('NO DELETE'!$P$7=4,โครงข่าย!N320,โครงข่าย!N386))))</f>
        <v>101.27780199999999</v>
      </c>
    </row>
    <row r="57" spans="1:14" s="24" customFormat="1">
      <c r="A57" s="68">
        <f t="shared" si="1"/>
        <v>51</v>
      </c>
      <c r="B57" s="88" t="str">
        <f>+IF('NO DELETE'!$P$7=1,โครงข่าย!B123,IF('NO DELETE'!$P$7=2,โครงข่าย!B189,IF('NO DELETE'!$P$7=3,โครงข่าย!B255,IF('NO DELETE'!$P$7=4,โครงข่าย!B321,โครงข่าย!B387))))</f>
        <v>ปน.6077</v>
      </c>
      <c r="C57" s="90" t="str">
        <f>+IF('NO DELETE'!$P$7=1,โครงข่าย!C123,IF('NO DELETE'!$P$7=2,โครงข่าย!C189,IF('NO DELETE'!$P$7=3,โครงข่าย!C255,IF('NO DELETE'!$P$7=4,โครงข่าย!C321,โครงข่าย!C387))))</f>
        <v>บาตงกูแบบาเดาะ</v>
      </c>
      <c r="D57" s="90" t="str">
        <f>+IF('NO DELETE'!$P$7=1,โครงข่าย!D123,IF('NO DELETE'!$P$7=2,โครงข่าย!D189,IF('NO DELETE'!$P$7=3,โครงข่าย!D255,IF('NO DELETE'!$P$7=4,โครงข่าย!D321,โครงข่าย!D387))))</f>
        <v>สะดาวา</v>
      </c>
      <c r="E57" s="88" t="str">
        <f>+IF('NO DELETE'!$P$7=1,โครงข่าย!E123,IF('NO DELETE'!$P$7=2,โครงข่าย!E189,IF('NO DELETE'!$P$7=3,โครงข่าย!E255,IF('NO DELETE'!$P$7=4,โครงข่าย!E321,โครงข่าย!E387))))</f>
        <v>ยะรัง</v>
      </c>
      <c r="F57" s="88" t="str">
        <f>+IF('NO DELETE'!$P$7=1,โครงข่าย!F123,IF('NO DELETE'!$P$7=2,โครงข่าย!F189,IF('NO DELETE'!$P$7=3,โครงข่าย!F255,IF('NO DELETE'!$P$7=4,โครงข่าย!F321,โครงข่าย!F387))))</f>
        <v>ปัตตานี</v>
      </c>
      <c r="G57" s="90">
        <f>+IF('NO DELETE'!$P$7=1,โครงข่าย!G123,IF('NO DELETE'!$P$7=2,โครงข่าย!G189,IF('NO DELETE'!$P$7=3,โครงข่าย!G255,IF('NO DELETE'!$P$7=4,โครงข่าย!G321,โครงข่าย!G387))))</f>
        <v>0.45</v>
      </c>
      <c r="H57" s="90">
        <f>+IF('NO DELETE'!$P$7=1,โครงข่าย!H123,IF('NO DELETE'!$P$7=2,โครงข่าย!H189,IF('NO DELETE'!$P$7=3,โครงข่าย!H255,IF('NO DELETE'!$P$7=4,โครงข่าย!H321,โครงข่าย!H387))))</f>
        <v>0</v>
      </c>
      <c r="I57" s="90">
        <f>+IF('NO DELETE'!$P$7=1,โครงข่าย!I123,IF('NO DELETE'!$P$7=2,โครงข่าย!I189,IF('NO DELETE'!$P$7=3,โครงข่าย!I255,IF('NO DELETE'!$P$7=4,โครงข่าย!I321,โครงข่าย!I387))))</f>
        <v>0</v>
      </c>
      <c r="J57" s="90">
        <f>+IF('NO DELETE'!$P$7=1,โครงข่าย!J123,IF('NO DELETE'!$P$7=2,โครงข่าย!J189,IF('NO DELETE'!$P$7=3,โครงข่าย!J255,IF('NO DELETE'!$P$7=4,โครงข่าย!J321,โครงข่าย!J387))))</f>
        <v>0.45</v>
      </c>
      <c r="K57" s="90">
        <f>+IF('NO DELETE'!$P$7=1,โครงข่าย!K123,IF('NO DELETE'!$P$7=2,โครงข่าย!K189,IF('NO DELETE'!$P$7=3,โครงข่าย!K255,IF('NO DELETE'!$P$7=4,โครงข่าย!K321,โครงข่าย!K387))))</f>
        <v>6.8144270000000002</v>
      </c>
      <c r="L57" s="90">
        <f>+IF('NO DELETE'!$P$7=1,โครงข่าย!L123,IF('NO DELETE'!$P$7=2,โครงข่าย!L189,IF('NO DELETE'!$P$7=3,โครงข่าย!L255,IF('NO DELETE'!$P$7=4,โครงข่าย!L321,โครงข่าย!L387))))</f>
        <v>101.326813</v>
      </c>
      <c r="M57" s="90">
        <f>+IF('NO DELETE'!$P$7=1,โครงข่าย!M123,IF('NO DELETE'!$P$7=2,โครงข่าย!M189,IF('NO DELETE'!$P$7=3,โครงข่าย!M255,IF('NO DELETE'!$P$7=4,โครงข่าย!M321,โครงข่าย!M387))))</f>
        <v>6.8083109999999998</v>
      </c>
      <c r="N57" s="90">
        <f>+IF('NO DELETE'!$P$7=1,โครงข่าย!N123,IF('NO DELETE'!$P$7=2,โครงข่าย!N189,IF('NO DELETE'!$P$7=3,โครงข่าย!N255,IF('NO DELETE'!$P$7=4,โครงข่าย!N321,โครงข่าย!N387))))</f>
        <v>101.325461</v>
      </c>
    </row>
    <row r="58" spans="1:14" s="24" customFormat="1">
      <c r="A58" s="68">
        <f t="shared" si="1"/>
        <v>52</v>
      </c>
      <c r="B58" s="88" t="str">
        <f>+IF('NO DELETE'!$P$7=1,โครงข่าย!B124,IF('NO DELETE'!$P$7=2,โครงข่าย!B190,IF('NO DELETE'!$P$7=3,โครงข่าย!B256,IF('NO DELETE'!$P$7=4,โครงข่าย!B322,โครงข่าย!B388))))</f>
        <v>ปน.6078</v>
      </c>
      <c r="C58" s="90" t="str">
        <f>+IF('NO DELETE'!$P$7=1,โครงข่าย!C124,IF('NO DELETE'!$P$7=2,โครงข่าย!C190,IF('NO DELETE'!$P$7=3,โครงข่าย!C256,IF('NO DELETE'!$P$7=4,โครงข่าย!C322,โครงข่าย!C388))))</f>
        <v>บ้านเขาดิน - บ้านบาลูกาวะ</v>
      </c>
      <c r="D58" s="90" t="str">
        <f>+IF('NO DELETE'!$P$7=1,โครงข่าย!D124,IF('NO DELETE'!$P$7=2,โครงข่าย!D190,IF('NO DELETE'!$P$7=3,โครงข่าย!D256,IF('NO DELETE'!$P$7=4,โครงข่าย!D322,โครงข่าย!D388))))</f>
        <v>ปากู</v>
      </c>
      <c r="E58" s="88" t="str">
        <f>+IF('NO DELETE'!$P$7=1,โครงข่าย!E124,IF('NO DELETE'!$P$7=2,โครงข่าย!E190,IF('NO DELETE'!$P$7=3,โครงข่าย!E256,IF('NO DELETE'!$P$7=4,โครงข่าย!E322,โครงข่าย!E388))))</f>
        <v>ทุ่งยางแดง</v>
      </c>
      <c r="F58" s="88" t="str">
        <f>+IF('NO DELETE'!$P$7=1,โครงข่าย!F124,IF('NO DELETE'!$P$7=2,โครงข่าย!F190,IF('NO DELETE'!$P$7=3,โครงข่าย!F256,IF('NO DELETE'!$P$7=4,โครงข่าย!F322,โครงข่าย!F388))))</f>
        <v>ปัตตานี</v>
      </c>
      <c r="G58" s="90">
        <f>+IF('NO DELETE'!$P$7=1,โครงข่าย!G124,IF('NO DELETE'!$P$7=2,โครงข่าย!G190,IF('NO DELETE'!$P$7=3,โครงข่าย!G256,IF('NO DELETE'!$P$7=4,โครงข่าย!G322,โครงข่าย!G388))))</f>
        <v>0.87</v>
      </c>
      <c r="H58" s="90">
        <f>+IF('NO DELETE'!$P$7=1,โครงข่าย!H124,IF('NO DELETE'!$P$7=2,โครงข่าย!H190,IF('NO DELETE'!$P$7=3,โครงข่าย!H256,IF('NO DELETE'!$P$7=4,โครงข่าย!H322,โครงข่าย!H388))))</f>
        <v>0</v>
      </c>
      <c r="I58" s="90">
        <f>+IF('NO DELETE'!$P$7=1,โครงข่าย!I124,IF('NO DELETE'!$P$7=2,โครงข่าย!I190,IF('NO DELETE'!$P$7=3,โครงข่าย!I256,IF('NO DELETE'!$P$7=4,โครงข่าย!I322,โครงข่าย!I388))))</f>
        <v>0</v>
      </c>
      <c r="J58" s="90">
        <f>+IF('NO DELETE'!$P$7=1,โครงข่าย!J124,IF('NO DELETE'!$P$7=2,โครงข่าย!J190,IF('NO DELETE'!$P$7=3,โครงข่าย!J256,IF('NO DELETE'!$P$7=4,โครงข่าย!J322,โครงข่าย!J388))))</f>
        <v>0.87</v>
      </c>
      <c r="K58" s="90">
        <f>+IF('NO DELETE'!$P$7=1,โครงข่าย!K124,IF('NO DELETE'!$P$7=2,โครงข่าย!K190,IF('NO DELETE'!$P$7=3,โครงข่าย!K256,IF('NO DELETE'!$P$7=4,โครงข่าย!K322,โครงข่าย!K388))))</f>
        <v>6.6107399999999998</v>
      </c>
      <c r="L58" s="90">
        <f>+IF('NO DELETE'!$P$7=1,โครงข่าย!L124,IF('NO DELETE'!$P$7=2,โครงข่าย!L190,IF('NO DELETE'!$P$7=3,โครงข่าย!L256,IF('NO DELETE'!$P$7=4,โครงข่าย!L322,โครงข่าย!L388))))</f>
        <v>101.46966999999999</v>
      </c>
      <c r="M58" s="90">
        <f>+IF('NO DELETE'!$P$7=1,โครงข่าย!M124,IF('NO DELETE'!$P$7=2,โครงข่าย!M190,IF('NO DELETE'!$P$7=3,โครงข่าย!M256,IF('NO DELETE'!$P$7=4,โครงข่าย!M322,โครงข่าย!M388))))</f>
        <v>6.6110800000000003</v>
      </c>
      <c r="N58" s="90">
        <f>+IF('NO DELETE'!$P$7=1,โครงข่าย!N124,IF('NO DELETE'!$P$7=2,โครงข่าย!N190,IF('NO DELETE'!$P$7=3,โครงข่าย!N256,IF('NO DELETE'!$P$7=4,โครงข่าย!N322,โครงข่าย!N388))))</f>
        <v>101.46145</v>
      </c>
    </row>
    <row r="59" spans="1:14" s="24" customFormat="1">
      <c r="A59" s="68">
        <f t="shared" si="1"/>
        <v>53</v>
      </c>
      <c r="B59" s="88" t="str">
        <f>+IF('NO DELETE'!$P$7=1,โครงข่าย!B125,IF('NO DELETE'!$P$7=2,โครงข่าย!B191,IF('NO DELETE'!$P$7=3,โครงข่าย!B257,IF('NO DELETE'!$P$7=4,โครงข่าย!B323,โครงข่าย!B389))))</f>
        <v>ปน.6079</v>
      </c>
      <c r="C59" s="90" t="str">
        <f>+IF('NO DELETE'!$P$7=1,โครงข่าย!C125,IF('NO DELETE'!$P$7=2,โครงข่าย!C191,IF('NO DELETE'!$P$7=3,โครงข่าย!C257,IF('NO DELETE'!$P$7=4,โครงข่าย!C323,โครงข่าย!C389))))</f>
        <v>บ้านน้ำดำ - บ้านข่าลิง</v>
      </c>
      <c r="D59" s="90" t="str">
        <f>+IF('NO DELETE'!$P$7=1,โครงข่าย!D125,IF('NO DELETE'!$P$7=2,โครงข่าย!D191,IF('NO DELETE'!$P$7=3,โครงข่าย!D257,IF('NO DELETE'!$P$7=4,โครงข่าย!D323,โครงข่าย!D389))))</f>
        <v>น้ำดำ, พิเทน</v>
      </c>
      <c r="E59" s="88" t="str">
        <f>+IF('NO DELETE'!$P$7=1,โครงข่าย!E125,IF('NO DELETE'!$P$7=2,โครงข่าย!E191,IF('NO DELETE'!$P$7=3,โครงข่าย!E257,IF('NO DELETE'!$P$7=4,โครงข่าย!E323,โครงข่าย!E389))))</f>
        <v>ทุ่งยางแดง</v>
      </c>
      <c r="F59" s="88" t="str">
        <f>+IF('NO DELETE'!$P$7=1,โครงข่าย!F125,IF('NO DELETE'!$P$7=2,โครงข่าย!F191,IF('NO DELETE'!$P$7=3,โครงข่าย!F257,IF('NO DELETE'!$P$7=4,โครงข่าย!F323,โครงข่าย!F389))))</f>
        <v>ปัตตานี</v>
      </c>
      <c r="G59" s="90">
        <f>+IF('NO DELETE'!$P$7=1,โครงข่าย!G125,IF('NO DELETE'!$P$7=2,โครงข่าย!G191,IF('NO DELETE'!$P$7=3,โครงข่าย!G257,IF('NO DELETE'!$P$7=4,โครงข่าย!G323,โครงข่าย!G389))))</f>
        <v>0.75</v>
      </c>
      <c r="H59" s="90">
        <f>+IF('NO DELETE'!$P$7=1,โครงข่าย!H125,IF('NO DELETE'!$P$7=2,โครงข่าย!H191,IF('NO DELETE'!$P$7=3,โครงข่าย!H257,IF('NO DELETE'!$P$7=4,โครงข่าย!H323,โครงข่าย!H389))))</f>
        <v>0</v>
      </c>
      <c r="I59" s="90">
        <f>+IF('NO DELETE'!$P$7=1,โครงข่าย!I125,IF('NO DELETE'!$P$7=2,โครงข่าย!I191,IF('NO DELETE'!$P$7=3,โครงข่าย!I257,IF('NO DELETE'!$P$7=4,โครงข่าย!I323,โครงข่าย!I389))))</f>
        <v>0</v>
      </c>
      <c r="J59" s="90">
        <f>+IF('NO DELETE'!$P$7=1,โครงข่าย!J125,IF('NO DELETE'!$P$7=2,โครงข่าย!J191,IF('NO DELETE'!$P$7=3,โครงข่าย!J257,IF('NO DELETE'!$P$7=4,โครงข่าย!J323,โครงข่าย!J389))))</f>
        <v>0.75</v>
      </c>
      <c r="K59" s="90">
        <f>+IF('NO DELETE'!$P$7=1,โครงข่าย!K125,IF('NO DELETE'!$P$7=2,โครงข่าย!K191,IF('NO DELETE'!$P$7=3,โครงข่าย!K257,IF('NO DELETE'!$P$7=4,โครงข่าย!K323,โครงข่าย!K389))))</f>
        <v>6.6268000000000002</v>
      </c>
      <c r="L59" s="90">
        <f>+IF('NO DELETE'!$P$7=1,โครงข่าย!L125,IF('NO DELETE'!$P$7=2,โครงข่าย!L191,IF('NO DELETE'!$P$7=3,โครงข่าย!L257,IF('NO DELETE'!$P$7=4,โครงข่าย!L323,โครงข่าย!L389))))</f>
        <v>101.43527</v>
      </c>
      <c r="M59" s="90">
        <f>+IF('NO DELETE'!$P$7=1,โครงข่าย!M125,IF('NO DELETE'!$P$7=2,โครงข่าย!M191,IF('NO DELETE'!$P$7=3,โครงข่าย!M257,IF('NO DELETE'!$P$7=4,โครงข่าย!M323,โครงข่าย!M389))))</f>
        <v>6.6324699999999996</v>
      </c>
      <c r="N59" s="90">
        <f>+IF('NO DELETE'!$P$7=1,โครงข่าย!N125,IF('NO DELETE'!$P$7=2,โครงข่าย!N191,IF('NO DELETE'!$P$7=3,โครงข่าย!N257,IF('NO DELETE'!$P$7=4,โครงข่าย!N323,โครงข่าย!N389))))</f>
        <v>101.43844</v>
      </c>
    </row>
    <row r="60" spans="1:14" s="11" customFormat="1">
      <c r="A60" s="12">
        <f t="shared" si="1"/>
        <v>54</v>
      </c>
      <c r="B60" s="38" t="str">
        <f>+IF('NO DELETE'!$P$7=1,โครงข่าย!B126,IF('NO DELETE'!$P$7=2,โครงข่าย!B192,IF('NO DELETE'!$P$7=3,โครงข่าย!B258,IF('NO DELETE'!$P$7=4,โครงข่าย!B324,โครงข่าย!B390))))</f>
        <v>ปน.6080</v>
      </c>
      <c r="C60" s="39" t="str">
        <f>+IF('NO DELETE'!$P$7=1,โครงข่าย!C126,IF('NO DELETE'!$P$7=2,โครงข่าย!C192,IF('NO DELETE'!$P$7=3,โครงข่าย!C258,IF('NO DELETE'!$P$7=4,โครงข่าย!C324,โครงข่าย!C390))))</f>
        <v>บ้านป่าลัส - บ้านลางา</v>
      </c>
      <c r="D60" s="39" t="str">
        <f>+IF('NO DELETE'!$P$7=1,โครงข่าย!D126,IF('NO DELETE'!$P$7=2,โครงข่าย!D192,IF('NO DELETE'!$P$7=3,โครงข่าย!D258,IF('NO DELETE'!$P$7=4,โครงข่าย!D324,โครงข่าย!D390))))</f>
        <v>ลางา</v>
      </c>
      <c r="E60" s="38" t="str">
        <f>+IF('NO DELETE'!$P$7=1,โครงข่าย!E126,IF('NO DELETE'!$P$7=2,โครงข่าย!E192,IF('NO DELETE'!$P$7=3,โครงข่าย!E258,IF('NO DELETE'!$P$7=4,โครงข่าย!E324,โครงข่าย!E390))))</f>
        <v>มายอ</v>
      </c>
      <c r="F60" s="38" t="str">
        <f>+IF('NO DELETE'!$P$7=1,โครงข่าย!F126,IF('NO DELETE'!$P$7=2,โครงข่าย!F192,IF('NO DELETE'!$P$7=3,โครงข่าย!F258,IF('NO DELETE'!$P$7=4,โครงข่าย!F324,โครงข่าย!F390))))</f>
        <v>ปัตตานี</v>
      </c>
      <c r="G60" s="39">
        <f>+IF('NO DELETE'!$P$7=1,โครงข่าย!G126,IF('NO DELETE'!$P$7=2,โครงข่าย!G192,IF('NO DELETE'!$P$7=3,โครงข่าย!G258,IF('NO DELETE'!$P$7=4,โครงข่าย!G324,โครงข่าย!G390))))</f>
        <v>0.92500000000000004</v>
      </c>
      <c r="H60" s="39">
        <f>+IF('NO DELETE'!$P$7=1,โครงข่าย!H126,IF('NO DELETE'!$P$7=2,โครงข่าย!H192,IF('NO DELETE'!$P$7=3,โครงข่าย!H258,IF('NO DELETE'!$P$7=4,โครงข่าย!H324,โครงข่าย!H390))))</f>
        <v>0</v>
      </c>
      <c r="I60" s="39">
        <f>+IF('NO DELETE'!$P$7=1,โครงข่าย!I126,IF('NO DELETE'!$P$7=2,โครงข่าย!I192,IF('NO DELETE'!$P$7=3,โครงข่าย!I258,IF('NO DELETE'!$P$7=4,โครงข่าย!I324,โครงข่าย!I390))))</f>
        <v>0</v>
      </c>
      <c r="J60" s="39">
        <f>+IF('NO DELETE'!$P$7=1,โครงข่าย!J126,IF('NO DELETE'!$P$7=2,โครงข่าย!J192,IF('NO DELETE'!$P$7=3,โครงข่าย!J258,IF('NO DELETE'!$P$7=4,โครงข่าย!J324,โครงข่าย!J390))))</f>
        <v>0.92500000000000004</v>
      </c>
      <c r="K60" s="39">
        <f>+IF('NO DELETE'!$P$7=1,โครงข่าย!K126,IF('NO DELETE'!$P$7=2,โครงข่าย!K192,IF('NO DELETE'!$P$7=3,โครงข่าย!K258,IF('NO DELETE'!$P$7=4,โครงข่าย!K324,โครงข่าย!K390))))</f>
        <v>6.7607299999999997</v>
      </c>
      <c r="L60" s="39">
        <f>+IF('NO DELETE'!$P$7=1,โครงข่าย!L126,IF('NO DELETE'!$P$7=2,โครงข่าย!L192,IF('NO DELETE'!$P$7=3,โครงข่าย!L258,IF('NO DELETE'!$P$7=4,โครงข่าย!L324,โครงข่าย!L390))))</f>
        <v>101.47512</v>
      </c>
      <c r="M60" s="39">
        <f>+IF('NO DELETE'!$P$7=1,โครงข่าย!M126,IF('NO DELETE'!$P$7=2,โครงข่าย!M192,IF('NO DELETE'!$P$7=3,โครงข่าย!M258,IF('NO DELETE'!$P$7=4,โครงข่าย!M324,โครงข่าย!M390))))</f>
        <v>6.7571000000000003</v>
      </c>
      <c r="N60" s="39">
        <f>+IF('NO DELETE'!$P$7=1,โครงข่าย!N126,IF('NO DELETE'!$P$7=2,โครงข่าย!N192,IF('NO DELETE'!$P$7=3,โครงข่าย!N258,IF('NO DELETE'!$P$7=4,โครงข่าย!N324,โครงข่าย!N390))))</f>
        <v>101.47528</v>
      </c>
    </row>
    <row r="61" spans="1:14" s="24" customFormat="1">
      <c r="A61" s="12">
        <f t="shared" si="1"/>
        <v>55</v>
      </c>
      <c r="B61" s="38" t="str">
        <f>+IF('NO DELETE'!$P$7=1,โครงข่าย!B127,IF('NO DELETE'!$P$7=2,โครงข่าย!B193,IF('NO DELETE'!$P$7=3,โครงข่าย!B259,IF('NO DELETE'!$P$7=4,โครงข่าย!B325,โครงข่าย!B391))))</f>
        <v>ปน.6081</v>
      </c>
      <c r="C61" s="39" t="str">
        <f>+IF('NO DELETE'!$P$7=1,โครงข่าย!C127,IF('NO DELETE'!$P$7=2,โครงข่าย!C193,IF('NO DELETE'!$P$7=3,โครงข่าย!C259,IF('NO DELETE'!$P$7=4,โครงข่าย!C325,โครงข่าย!C391))))</f>
        <v>บ้านดอนทราย - บ้านป่าไหม่</v>
      </c>
      <c r="D61" s="39" t="str">
        <f>+IF('NO DELETE'!$P$7=1,โครงข่าย!D127,IF('NO DELETE'!$P$7=2,โครงข่าย!D193,IF('NO DELETE'!$P$7=3,โครงข่าย!D259,IF('NO DELETE'!$P$7=4,โครงข่าย!D325,โครงข่าย!D391))))</f>
        <v>ดอนทราย</v>
      </c>
      <c r="E61" s="38" t="str">
        <f>+IF('NO DELETE'!$P$7=1,โครงข่าย!E127,IF('NO DELETE'!$P$7=2,โครงข่าย!E193,IF('NO DELETE'!$P$7=3,โครงข่าย!E259,IF('NO DELETE'!$P$7=4,โครงข่าย!E325,โครงข่าย!E391))))</f>
        <v>ไม้แก่น</v>
      </c>
      <c r="F61" s="38" t="str">
        <f>+IF('NO DELETE'!$P$7=1,โครงข่าย!F127,IF('NO DELETE'!$P$7=2,โครงข่าย!F193,IF('NO DELETE'!$P$7=3,โครงข่าย!F259,IF('NO DELETE'!$P$7=4,โครงข่าย!F325,โครงข่าย!F391))))</f>
        <v>ปัตตานี</v>
      </c>
      <c r="G61" s="39">
        <f>+IF('NO DELETE'!$P$7=1,โครงข่าย!G127,IF('NO DELETE'!$P$7=2,โครงข่าย!G193,IF('NO DELETE'!$P$7=3,โครงข่าย!G259,IF('NO DELETE'!$P$7=4,โครงข่าย!G325,โครงข่าย!G391))))</f>
        <v>1.01</v>
      </c>
      <c r="H61" s="39">
        <f>+IF('NO DELETE'!$P$7=1,โครงข่าย!H127,IF('NO DELETE'!$P$7=2,โครงข่าย!H193,IF('NO DELETE'!$P$7=3,โครงข่าย!H259,IF('NO DELETE'!$P$7=4,โครงข่าย!H325,โครงข่าย!H391))))</f>
        <v>0</v>
      </c>
      <c r="I61" s="39">
        <f>+IF('NO DELETE'!$P$7=1,โครงข่าย!I127,IF('NO DELETE'!$P$7=2,โครงข่าย!I193,IF('NO DELETE'!$P$7=3,โครงข่าย!I259,IF('NO DELETE'!$P$7=4,โครงข่าย!I325,โครงข่าย!I391))))</f>
        <v>0</v>
      </c>
      <c r="J61" s="39">
        <f>+IF('NO DELETE'!$P$7=1,โครงข่าย!J127,IF('NO DELETE'!$P$7=2,โครงข่าย!J193,IF('NO DELETE'!$P$7=3,โครงข่าย!J259,IF('NO DELETE'!$P$7=4,โครงข่าย!J325,โครงข่าย!J391))))</f>
        <v>1.01</v>
      </c>
      <c r="K61" s="39">
        <f>+IF('NO DELETE'!$P$7=1,โครงข่าย!K127,IF('NO DELETE'!$P$7=2,โครงข่าย!K193,IF('NO DELETE'!$P$7=3,โครงข่าย!K259,IF('NO DELETE'!$P$7=4,โครงข่าย!K325,โครงข่าย!K391))))</f>
        <v>6.5966399999999998</v>
      </c>
      <c r="L61" s="39">
        <f>+IF('NO DELETE'!$P$7=1,โครงข่าย!L127,IF('NO DELETE'!$P$7=2,โครงข่าย!L193,IF('NO DELETE'!$P$7=3,โครงข่าย!L259,IF('NO DELETE'!$P$7=4,โครงข่าย!L325,โครงข่าย!L391))))</f>
        <v>101.70963</v>
      </c>
      <c r="M61" s="39">
        <f>+IF('NO DELETE'!$P$7=1,โครงข่าย!M127,IF('NO DELETE'!$P$7=2,โครงข่าย!M193,IF('NO DELETE'!$P$7=3,โครงข่าย!M259,IF('NO DELETE'!$P$7=4,โครงข่าย!M325,โครงข่าย!M391))))</f>
        <v>6.59124</v>
      </c>
      <c r="N61" s="39">
        <f>+IF('NO DELETE'!$P$7=1,โครงข่าย!N127,IF('NO DELETE'!$P$7=2,โครงข่าย!N193,IF('NO DELETE'!$P$7=3,โครงข่าย!N259,IF('NO DELETE'!$P$7=4,โครงข่าย!N325,โครงข่าย!N391))))</f>
        <v>101.69035</v>
      </c>
    </row>
    <row r="62" spans="1:14" s="27" customFormat="1">
      <c r="A62" s="12">
        <f t="shared" si="1"/>
        <v>56</v>
      </c>
      <c r="B62" s="38" t="str">
        <f>+IF('NO DELETE'!$P$7=1,โครงข่าย!B128,IF('NO DELETE'!$P$7=2,โครงข่าย!B194,IF('NO DELETE'!$P$7=3,โครงข่าย!B260,IF('NO DELETE'!$P$7=4,โครงข่าย!B326,โครงข่าย!B392))))</f>
        <v>ปน.6082</v>
      </c>
      <c r="C62" s="39" t="str">
        <f>+IF('NO DELETE'!$P$7=1,โครงข่าย!C128,IF('NO DELETE'!$P$7=2,โครงข่าย!C194,IF('NO DELETE'!$P$7=3,โครงข่าย!C260,IF('NO DELETE'!$P$7=4,โครงข่าย!C326,โครงข่าย!C392))))</f>
        <v>บ้านกอตอฮิเล ม.4</v>
      </c>
      <c r="D62" s="39" t="str">
        <f>+IF('NO DELETE'!$P$7=1,โครงข่าย!D128,IF('NO DELETE'!$P$7=2,โครงข่าย!D194,IF('NO DELETE'!$P$7=3,โครงข่าย!D260,IF('NO DELETE'!$P$7=4,โครงข่าย!D326,โครงข่าย!D392))))</f>
        <v>ตะโละไกรทอง</v>
      </c>
      <c r="E62" s="38" t="str">
        <f>+IF('NO DELETE'!$P$7=1,โครงข่าย!E128,IF('NO DELETE'!$P$7=2,โครงข่าย!E194,IF('NO DELETE'!$P$7=3,โครงข่าย!E260,IF('NO DELETE'!$P$7=4,โครงข่าย!E326,โครงข่าย!E392))))</f>
        <v>ไม้แก่น</v>
      </c>
      <c r="F62" s="38" t="str">
        <f>+IF('NO DELETE'!$P$7=1,โครงข่าย!F128,IF('NO DELETE'!$P$7=2,โครงข่าย!F194,IF('NO DELETE'!$P$7=3,โครงข่าย!F260,IF('NO DELETE'!$P$7=4,โครงข่าย!F326,โครงข่าย!F392))))</f>
        <v>ปัตตานี</v>
      </c>
      <c r="G62" s="39">
        <f>+IF('NO DELETE'!$P$7=1,โครงข่าย!G128,IF('NO DELETE'!$P$7=2,โครงข่าย!G194,IF('NO DELETE'!$P$7=3,โครงข่าย!G260,IF('NO DELETE'!$P$7=4,โครงข่าย!G326,โครงข่าย!G392))))</f>
        <v>1.25</v>
      </c>
      <c r="H62" s="39">
        <f>+IF('NO DELETE'!$P$7=1,โครงข่าย!H128,IF('NO DELETE'!$P$7=2,โครงข่าย!H194,IF('NO DELETE'!$P$7=3,โครงข่าย!H260,IF('NO DELETE'!$P$7=4,โครงข่าย!H326,โครงข่าย!H392))))</f>
        <v>0</v>
      </c>
      <c r="I62" s="39">
        <f>+IF('NO DELETE'!$P$7=1,โครงข่าย!I128,IF('NO DELETE'!$P$7=2,โครงข่าย!I194,IF('NO DELETE'!$P$7=3,โครงข่าย!I260,IF('NO DELETE'!$P$7=4,โครงข่าย!I326,โครงข่าย!I392))))</f>
        <v>0</v>
      </c>
      <c r="J62" s="39">
        <f>+IF('NO DELETE'!$P$7=1,โครงข่าย!J128,IF('NO DELETE'!$P$7=2,โครงข่าย!J194,IF('NO DELETE'!$P$7=3,โครงข่าย!J260,IF('NO DELETE'!$P$7=4,โครงข่าย!J326,โครงข่าย!J392))))</f>
        <v>1.25</v>
      </c>
      <c r="K62" s="39">
        <f>+IF('NO DELETE'!$P$7=1,โครงข่าย!K128,IF('NO DELETE'!$P$7=2,โครงข่าย!K194,IF('NO DELETE'!$P$7=3,โครงข่าย!K260,IF('NO DELETE'!$P$7=4,โครงข่าย!K326,โครงข่าย!K392))))</f>
        <v>6.6279500000000002</v>
      </c>
      <c r="L62" s="39">
        <f>+IF('NO DELETE'!$P$7=1,โครงข่าย!L128,IF('NO DELETE'!$P$7=2,โครงข่าย!L194,IF('NO DELETE'!$P$7=3,โครงข่าย!L260,IF('NO DELETE'!$P$7=4,โครงข่าย!L326,โครงข่าย!L392))))</f>
        <v>101.63818000000001</v>
      </c>
      <c r="M62" s="39">
        <f>+IF('NO DELETE'!$P$7=1,โครงข่าย!M128,IF('NO DELETE'!$P$7=2,โครงข่าย!M194,IF('NO DELETE'!$P$7=3,โครงข่าย!M260,IF('NO DELETE'!$P$7=4,โครงข่าย!M326,โครงข่าย!M392))))</f>
        <v>6.6341799999999997</v>
      </c>
      <c r="N62" s="39">
        <f>+IF('NO DELETE'!$P$7=1,โครงข่าย!N128,IF('NO DELETE'!$P$7=2,โครงข่าย!N194,IF('NO DELETE'!$P$7=3,โครงข่าย!N260,IF('NO DELETE'!$P$7=4,โครงข่าย!N326,โครงข่าย!N392))))</f>
        <v>101.63325</v>
      </c>
    </row>
    <row r="63" spans="1:14" s="27" customFormat="1">
      <c r="A63" s="12">
        <f t="shared" si="1"/>
        <v>57</v>
      </c>
      <c r="B63" s="38" t="str">
        <f>+IF('NO DELETE'!$P$7=1,โครงข่าย!B129,IF('NO DELETE'!$P$7=2,โครงข่าย!B195,IF('NO DELETE'!$P$7=3,โครงข่าย!B261,IF('NO DELETE'!$P$7=4,โครงข่าย!B327,โครงข่าย!B393))))</f>
        <v>ปน.6083</v>
      </c>
      <c r="C63" s="39" t="str">
        <f>+IF('NO DELETE'!$P$7=1,โครงข่าย!C129,IF('NO DELETE'!$P$7=2,โครงข่าย!C195,IF('NO DELETE'!$P$7=3,โครงข่าย!C261,IF('NO DELETE'!$P$7=4,โครงข่าย!C327,โครงข่าย!C393))))</f>
        <v>บ้านบือราแง - บ้านชะมา</v>
      </c>
      <c r="D63" s="39" t="str">
        <f>+IF('NO DELETE'!$P$7=1,โครงข่าย!D129,IF('NO DELETE'!$P$7=2,โครงข่าย!D195,IF('NO DELETE'!$P$7=3,โครงข่าย!D261,IF('NO DELETE'!$P$7=4,โครงข่าย!D327,โครงข่าย!D393))))</f>
        <v>น้ำดำ</v>
      </c>
      <c r="E63" s="38" t="str">
        <f>+IF('NO DELETE'!$P$7=1,โครงข่าย!E129,IF('NO DELETE'!$P$7=2,โครงข่าย!E195,IF('NO DELETE'!$P$7=3,โครงข่าย!E261,IF('NO DELETE'!$P$7=4,โครงข่าย!E327,โครงข่าย!E393))))</f>
        <v>ทุ่งยางแดง</v>
      </c>
      <c r="F63" s="38" t="str">
        <f>+IF('NO DELETE'!$P$7=1,โครงข่าย!F129,IF('NO DELETE'!$P$7=2,โครงข่าย!F195,IF('NO DELETE'!$P$7=3,โครงข่าย!F261,IF('NO DELETE'!$P$7=4,โครงข่าย!F327,โครงข่าย!F393))))</f>
        <v>ปัตตานี</v>
      </c>
      <c r="G63" s="39">
        <f>+IF('NO DELETE'!$P$7=1,โครงข่าย!G129,IF('NO DELETE'!$P$7=2,โครงข่าย!G195,IF('NO DELETE'!$P$7=3,โครงข่าย!G261,IF('NO DELETE'!$P$7=4,โครงข่าย!G327,โครงข่าย!G393))))</f>
        <v>3.55</v>
      </c>
      <c r="H63" s="39">
        <f>+IF('NO DELETE'!$P$7=1,โครงข่าย!H129,IF('NO DELETE'!$P$7=2,โครงข่าย!H195,IF('NO DELETE'!$P$7=3,โครงข่าย!H261,IF('NO DELETE'!$P$7=4,โครงข่าย!H327,โครงข่าย!H393))))</f>
        <v>0</v>
      </c>
      <c r="I63" s="39">
        <f>+IF('NO DELETE'!$P$7=1,โครงข่าย!I129,IF('NO DELETE'!$P$7=2,โครงข่าย!I195,IF('NO DELETE'!$P$7=3,โครงข่าย!I261,IF('NO DELETE'!$P$7=4,โครงข่าย!I327,โครงข่าย!I393))))</f>
        <v>3.55</v>
      </c>
      <c r="J63" s="39">
        <f>+IF('NO DELETE'!$P$7=1,โครงข่าย!J129,IF('NO DELETE'!$P$7=2,โครงข่าย!J195,IF('NO DELETE'!$P$7=3,โครงข่าย!J261,IF('NO DELETE'!$P$7=4,โครงข่าย!J327,โครงข่าย!J393))))</f>
        <v>0</v>
      </c>
      <c r="K63" s="39">
        <f>+IF('NO DELETE'!$P$7=1,โครงข่าย!K129,IF('NO DELETE'!$P$7=2,โครงข่าย!K195,IF('NO DELETE'!$P$7=3,โครงข่าย!K261,IF('NO DELETE'!$P$7=4,โครงข่าย!K327,โครงข่าย!K393))))</f>
        <v>6.6214000000000004</v>
      </c>
      <c r="L63" s="39">
        <f>+IF('NO DELETE'!$P$7=1,โครงข่าย!L129,IF('NO DELETE'!$P$7=2,โครงข่าย!L195,IF('NO DELETE'!$P$7=3,โครงข่าย!L261,IF('NO DELETE'!$P$7=4,โครงข่าย!L327,โครงข่าย!L393))))</f>
        <v>101.45504</v>
      </c>
      <c r="M63" s="39">
        <f>+IF('NO DELETE'!$P$7=1,โครงข่าย!M129,IF('NO DELETE'!$P$7=2,โครงข่าย!M195,IF('NO DELETE'!$P$7=3,โครงข่าย!M261,IF('NO DELETE'!$P$7=4,โครงข่าย!M327,โครงข่าย!M393))))</f>
        <v>6.5933900000000003</v>
      </c>
      <c r="N63" s="39">
        <f>+IF('NO DELETE'!$P$7=1,โครงข่าย!N129,IF('NO DELETE'!$P$7=2,โครงข่าย!N195,IF('NO DELETE'!$P$7=3,โครงข่าย!N261,IF('NO DELETE'!$P$7=4,โครงข่าย!N327,โครงข่าย!N393))))</f>
        <v>101.46025</v>
      </c>
    </row>
    <row r="64" spans="1:14" s="27" customFormat="1" ht="48">
      <c r="A64" s="12">
        <f t="shared" si="1"/>
        <v>58</v>
      </c>
      <c r="B64" s="38" t="str">
        <f>+IF('NO DELETE'!$P$7=1,โครงข่าย!B130,IF('NO DELETE'!$P$7=2,โครงข่าย!B196,IF('NO DELETE'!$P$7=3,โครงข่าย!B262,IF('NO DELETE'!$P$7=4,โครงข่าย!B328,โครงข่าย!B394))))</f>
        <v>ปน.3084</v>
      </c>
      <c r="C64" s="39" t="str">
        <f>+IF('NO DELETE'!$P$7=1,โครงข่าย!C130,IF('NO DELETE'!$P$7=2,โครงข่าย!C196,IF('NO DELETE'!$P$7=3,โครงข่าย!C262,IF('NO DELETE'!$P$7=4,โครงข่าย!C328,โครงข่าย!C394))))</f>
        <v>แยกทางหลวงหมายเลข 309 -  บ้านตาแปด</v>
      </c>
      <c r="D64" s="39">
        <f>+IF('NO DELETE'!$P$7=1,โครงข่าย!D130,IF('NO DELETE'!$P$7=2,โครงข่าย!D196,IF('NO DELETE'!$P$7=3,โครงข่าย!D262,IF('NO DELETE'!$P$7=4,โครงข่าย!D328,โครงข่าย!D394))))</f>
        <v>0</v>
      </c>
      <c r="E64" s="38" t="str">
        <f>+IF('NO DELETE'!$P$7=1,โครงข่าย!E130,IF('NO DELETE'!$P$7=2,โครงข่าย!E196,IF('NO DELETE'!$P$7=3,โครงข่าย!E262,IF('NO DELETE'!$P$7=4,โครงข่าย!E328,โครงข่าย!E394))))</f>
        <v>โคกโพธิ์</v>
      </c>
      <c r="F64" s="38" t="str">
        <f>+IF('NO DELETE'!$P$7=1,โครงข่าย!F130,IF('NO DELETE'!$P$7=2,โครงข่าย!F196,IF('NO DELETE'!$P$7=3,โครงข่าย!F262,IF('NO DELETE'!$P$7=4,โครงข่าย!F328,โครงข่าย!F394))))</f>
        <v>ปัตตานี</v>
      </c>
      <c r="G64" s="39">
        <f>+IF('NO DELETE'!$P$7=1,โครงข่าย!G130,IF('NO DELETE'!$P$7=2,โครงข่าย!G196,IF('NO DELETE'!$P$7=3,โครงข่าย!G262,IF('NO DELETE'!$P$7=4,โครงข่าย!G328,โครงข่าย!G394))))</f>
        <v>13.31</v>
      </c>
      <c r="H64" s="39">
        <f>+IF('NO DELETE'!$P$7=1,โครงข่าย!H130,IF('NO DELETE'!$P$7=2,โครงข่าย!H196,IF('NO DELETE'!$P$7=3,โครงข่าย!H262,IF('NO DELETE'!$P$7=4,โครงข่าย!H328,โครงข่าย!H394))))</f>
        <v>0</v>
      </c>
      <c r="I64" s="39">
        <f>+IF('NO DELETE'!$P$7=1,โครงข่าย!I130,IF('NO DELETE'!$P$7=2,โครงข่าย!I196,IF('NO DELETE'!$P$7=3,โครงข่าย!I262,IF('NO DELETE'!$P$7=4,โครงข่าย!I328,โครงข่าย!I394))))</f>
        <v>13.31</v>
      </c>
      <c r="J64" s="39">
        <f>+IF('NO DELETE'!$P$7=1,โครงข่าย!J130,IF('NO DELETE'!$P$7=2,โครงข่าย!J196,IF('NO DELETE'!$P$7=3,โครงข่าย!J262,IF('NO DELETE'!$P$7=4,โครงข่าย!J328,โครงข่าย!J394))))</f>
        <v>0</v>
      </c>
      <c r="K64" s="39">
        <f>+IF('NO DELETE'!$P$7=1,โครงข่าย!K130,IF('NO DELETE'!$P$7=2,โครงข่าย!K196,IF('NO DELETE'!$P$7=3,โครงข่าย!K262,IF('NO DELETE'!$P$7=4,โครงข่าย!K328,โครงข่าย!K394))))</f>
        <v>6.7367610999999998</v>
      </c>
      <c r="L64" s="39">
        <f>+IF('NO DELETE'!$P$7=1,โครงข่าย!L130,IF('NO DELETE'!$P$7=2,โครงข่าย!L196,IF('NO DELETE'!$P$7=3,โครงข่าย!L262,IF('NO DELETE'!$P$7=4,โครงข่าย!L328,โครงข่าย!L394))))</f>
        <v>101.134733</v>
      </c>
      <c r="M64" s="39">
        <f>+IF('NO DELETE'!$P$7=1,โครงข่าย!M130,IF('NO DELETE'!$P$7=2,โครงข่าย!M196,IF('NO DELETE'!$P$7=3,โครงข่าย!M262,IF('NO DELETE'!$P$7=4,โครงข่าย!M328,โครงข่าย!M394))))</f>
        <v>6.7850276999999997</v>
      </c>
      <c r="N64" s="39">
        <f>+IF('NO DELETE'!$P$7=1,โครงข่าย!N130,IF('NO DELETE'!$P$7=2,โครงข่าย!N196,IF('NO DELETE'!$P$7=3,โครงข่าย!N262,IF('NO DELETE'!$P$7=4,โครงข่าย!N328,โครงข่าย!N394))))</f>
        <v>101.037352</v>
      </c>
    </row>
    <row r="65" spans="1:14" s="27" customFormat="1">
      <c r="A65" s="28">
        <f t="shared" si="1"/>
        <v>59</v>
      </c>
      <c r="B65" s="38">
        <f>+IF('NO DELETE'!$P$7=1,โครงข่าย!B131,IF('NO DELETE'!$P$7=2,โครงข่าย!B197,IF('NO DELETE'!$P$7=3,โครงข่าย!B263,IF('NO DELETE'!$P$7=4,โครงข่าย!B329,โครงข่าย!B395))))</f>
        <v>0</v>
      </c>
      <c r="C65" s="39">
        <f>+IF('NO DELETE'!$P$7=1,โครงข่าย!C131,IF('NO DELETE'!$P$7=2,โครงข่าย!C197,IF('NO DELETE'!$P$7=3,โครงข่าย!C263,IF('NO DELETE'!$P$7=4,โครงข่าย!C329,โครงข่าย!C395))))</f>
        <v>0</v>
      </c>
      <c r="D65" s="39">
        <f>+IF('NO DELETE'!$P$7=1,โครงข่าย!D131,IF('NO DELETE'!$P$7=2,โครงข่าย!D197,IF('NO DELETE'!$P$7=3,โครงข่าย!D263,IF('NO DELETE'!$P$7=4,โครงข่าย!D329,โครงข่าย!D395))))</f>
        <v>0</v>
      </c>
      <c r="E65" s="38">
        <f>+IF('NO DELETE'!$P$7=1,โครงข่าย!E131,IF('NO DELETE'!$P$7=2,โครงข่าย!E197,IF('NO DELETE'!$P$7=3,โครงข่าย!E263,IF('NO DELETE'!$P$7=4,โครงข่าย!E329,โครงข่าย!E395))))</f>
        <v>0</v>
      </c>
      <c r="F65" s="38">
        <f>+IF('NO DELETE'!$P$7=1,โครงข่าย!F131,IF('NO DELETE'!$P$7=2,โครงข่าย!F197,IF('NO DELETE'!$P$7=3,โครงข่าย!F263,IF('NO DELETE'!$P$7=4,โครงข่าย!F329,โครงข่าย!F395))))</f>
        <v>0</v>
      </c>
      <c r="G65" s="39">
        <f>+IF('NO DELETE'!$P$7=1,โครงข่าย!G131,IF('NO DELETE'!$P$7=2,โครงข่าย!G197,IF('NO DELETE'!$P$7=3,โครงข่าย!G263,IF('NO DELETE'!$P$7=4,โครงข่าย!G329,โครงข่าย!G395))))</f>
        <v>0</v>
      </c>
      <c r="H65" s="39">
        <f>+IF('NO DELETE'!$P$7=1,โครงข่าย!H131,IF('NO DELETE'!$P$7=2,โครงข่าย!H197,IF('NO DELETE'!$P$7=3,โครงข่าย!H263,IF('NO DELETE'!$P$7=4,โครงข่าย!H329,โครงข่าย!H395))))</f>
        <v>0</v>
      </c>
      <c r="I65" s="39">
        <f>+IF('NO DELETE'!$P$7=1,โครงข่าย!I131,IF('NO DELETE'!$P$7=2,โครงข่าย!I197,IF('NO DELETE'!$P$7=3,โครงข่าย!I263,IF('NO DELETE'!$P$7=4,โครงข่าย!I329,โครงข่าย!I395))))</f>
        <v>0</v>
      </c>
      <c r="J65" s="39">
        <f>+IF('NO DELETE'!$P$7=1,โครงข่าย!J131,IF('NO DELETE'!$P$7=2,โครงข่าย!J197,IF('NO DELETE'!$P$7=3,โครงข่าย!J263,IF('NO DELETE'!$P$7=4,โครงข่าย!J329,โครงข่าย!J395))))</f>
        <v>0</v>
      </c>
      <c r="K65" s="39">
        <f>+IF('NO DELETE'!$P$7=1,โครงข่าย!K131,IF('NO DELETE'!$P$7=2,โครงข่าย!K197,IF('NO DELETE'!$P$7=3,โครงข่าย!K263,IF('NO DELETE'!$P$7=4,โครงข่าย!K329,โครงข่าย!K395))))</f>
        <v>0</v>
      </c>
      <c r="L65" s="39">
        <f>+IF('NO DELETE'!$P$7=1,โครงข่าย!L131,IF('NO DELETE'!$P$7=2,โครงข่าย!L197,IF('NO DELETE'!$P$7=3,โครงข่าย!L263,IF('NO DELETE'!$P$7=4,โครงข่าย!L329,โครงข่าย!L395))))</f>
        <v>0</v>
      </c>
      <c r="M65" s="39">
        <f>+IF('NO DELETE'!$P$7=1,โครงข่าย!M131,IF('NO DELETE'!$P$7=2,โครงข่าย!M197,IF('NO DELETE'!$P$7=3,โครงข่าย!M263,IF('NO DELETE'!$P$7=4,โครงข่าย!M329,โครงข่าย!M395))))</f>
        <v>0</v>
      </c>
      <c r="N65" s="39">
        <f>+IF('NO DELETE'!$P$7=1,โครงข่าย!N131,IF('NO DELETE'!$P$7=2,โครงข่าย!N197,IF('NO DELETE'!$P$7=3,โครงข่าย!N263,IF('NO DELETE'!$P$7=4,โครงข่าย!N329,โครงข่าย!N395))))</f>
        <v>0</v>
      </c>
    </row>
    <row r="66" spans="1:14">
      <c r="A66" s="2965" t="s">
        <v>28</v>
      </c>
      <c r="B66" s="2966"/>
      <c r="C66" s="2966"/>
      <c r="D66" s="2966"/>
      <c r="E66" s="2966"/>
      <c r="F66" s="2967"/>
      <c r="G66" s="34">
        <f>SUM(G7:G65)</f>
        <v>584.99699999999984</v>
      </c>
      <c r="H66" s="34">
        <f>SUM(H7:H65)</f>
        <v>40.06</v>
      </c>
      <c r="I66" s="34">
        <f>SUM(I7:I65)</f>
        <v>536.4749999999998</v>
      </c>
      <c r="J66" s="34">
        <f>SUM(J7:J65)</f>
        <v>8.4619999999999997</v>
      </c>
      <c r="K66" s="35"/>
      <c r="L66" s="35"/>
      <c r="M66" s="35"/>
      <c r="N66" s="35"/>
    </row>
    <row r="67" spans="1:14" ht="21" customHeight="1">
      <c r="A67" s="2961" t="s">
        <v>722</v>
      </c>
      <c r="B67" s="2961"/>
      <c r="C67" s="2961"/>
      <c r="D67" s="2961"/>
      <c r="E67" s="2961"/>
      <c r="F67" s="2961"/>
      <c r="G67" s="2961"/>
      <c r="H67" s="2961"/>
      <c r="I67" s="2961"/>
      <c r="J67" s="2961"/>
      <c r="K67" s="2961"/>
      <c r="L67" s="2961"/>
      <c r="M67" s="2961"/>
      <c r="N67" s="2961"/>
    </row>
    <row r="68" spans="1:14">
      <c r="A68" s="2962" t="s">
        <v>723</v>
      </c>
      <c r="B68" s="2962"/>
      <c r="C68" s="2962"/>
      <c r="D68" s="2962"/>
      <c r="E68" s="2962"/>
      <c r="G68" s="3"/>
      <c r="H68" s="3"/>
      <c r="I68" s="3"/>
      <c r="J68" s="3"/>
      <c r="K68" s="4"/>
      <c r="L68" s="4"/>
      <c r="M68" s="4"/>
      <c r="N68" s="4"/>
    </row>
    <row r="70" spans="1:14" s="5" customFormat="1" ht="21" customHeight="1">
      <c r="A70" s="2963" t="s">
        <v>724</v>
      </c>
      <c r="B70" s="2963" t="s">
        <v>361</v>
      </c>
      <c r="C70" s="2963" t="s">
        <v>362</v>
      </c>
      <c r="D70" s="2964" t="s">
        <v>725</v>
      </c>
      <c r="E70" s="2963" t="s">
        <v>726</v>
      </c>
      <c r="F70" s="2963" t="s">
        <v>574</v>
      </c>
      <c r="G70" s="2963" t="s">
        <v>727</v>
      </c>
      <c r="H70" s="2963" t="s">
        <v>728</v>
      </c>
      <c r="I70" s="2963"/>
      <c r="J70" s="2963"/>
      <c r="K70" s="2968" t="s">
        <v>729</v>
      </c>
      <c r="L70" s="2969"/>
      <c r="M70" s="2969"/>
      <c r="N70" s="2970"/>
    </row>
    <row r="71" spans="1:14" s="5" customFormat="1">
      <c r="A71" s="2963"/>
      <c r="B71" s="2963"/>
      <c r="C71" s="2963"/>
      <c r="D71" s="2964"/>
      <c r="E71" s="2963"/>
      <c r="F71" s="2963"/>
      <c r="G71" s="2963"/>
      <c r="H71" s="2971" t="s">
        <v>7</v>
      </c>
      <c r="I71" s="2971" t="s">
        <v>730</v>
      </c>
      <c r="J71" s="2971" t="s">
        <v>282</v>
      </c>
      <c r="K71" s="2968" t="s">
        <v>731</v>
      </c>
      <c r="L71" s="2970"/>
      <c r="M71" s="2968" t="s">
        <v>732</v>
      </c>
      <c r="N71" s="2970"/>
    </row>
    <row r="72" spans="1:14" s="5" customFormat="1">
      <c r="A72" s="2963"/>
      <c r="B72" s="2963"/>
      <c r="C72" s="2963"/>
      <c r="D72" s="2964"/>
      <c r="E72" s="2963"/>
      <c r="F72" s="2963"/>
      <c r="G72" s="2963"/>
      <c r="H72" s="2972"/>
      <c r="I72" s="2972"/>
      <c r="J72" s="2972"/>
      <c r="K72" s="6" t="s">
        <v>733</v>
      </c>
      <c r="L72" s="6" t="s">
        <v>734</v>
      </c>
      <c r="M72" s="6" t="s">
        <v>733</v>
      </c>
      <c r="N72" s="6" t="s">
        <v>734</v>
      </c>
    </row>
    <row r="73" spans="1:14" s="24" customFormat="1">
      <c r="A73" s="87">
        <v>1</v>
      </c>
      <c r="B73" s="87" t="s">
        <v>735</v>
      </c>
      <c r="C73" s="8" t="s">
        <v>1407</v>
      </c>
      <c r="D73" s="89" t="s">
        <v>736</v>
      </c>
      <c r="E73" s="87" t="s">
        <v>737</v>
      </c>
      <c r="F73" s="87" t="s">
        <v>241</v>
      </c>
      <c r="G73" s="101">
        <v>21.471</v>
      </c>
      <c r="H73" s="101"/>
      <c r="I73" s="101">
        <v>21.471</v>
      </c>
      <c r="J73" s="101"/>
      <c r="K73" s="93">
        <v>7.8934579999999999</v>
      </c>
      <c r="L73" s="93">
        <v>100.216936</v>
      </c>
      <c r="M73" s="93">
        <v>7.7770789999999996</v>
      </c>
      <c r="N73" s="93">
        <v>100.316773</v>
      </c>
    </row>
    <row r="74" spans="1:14" s="24" customFormat="1">
      <c r="A74" s="68">
        <f>+A73+1</f>
        <v>2</v>
      </c>
      <c r="B74" s="68" t="s">
        <v>738</v>
      </c>
      <c r="C74" s="117" t="s">
        <v>1408</v>
      </c>
      <c r="D74" s="117" t="s">
        <v>739</v>
      </c>
      <c r="E74" s="68" t="s">
        <v>740</v>
      </c>
      <c r="F74" s="68" t="s">
        <v>241</v>
      </c>
      <c r="G74" s="118">
        <v>9.9649999999999999</v>
      </c>
      <c r="H74" s="118"/>
      <c r="I74" s="118">
        <v>9.9649999999999999</v>
      </c>
      <c r="J74" s="118"/>
      <c r="K74" s="119">
        <v>7.1108419999999999</v>
      </c>
      <c r="L74" s="119">
        <v>100.327833</v>
      </c>
      <c r="M74" s="119">
        <v>7.0710230000000003</v>
      </c>
      <c r="N74" s="119">
        <v>100.257237</v>
      </c>
    </row>
    <row r="75" spans="1:14" s="24" customFormat="1">
      <c r="A75" s="68">
        <f t="shared" ref="A75:A131" si="2">+A74+1</f>
        <v>3</v>
      </c>
      <c r="B75" s="68" t="s">
        <v>741</v>
      </c>
      <c r="C75" s="117" t="s">
        <v>1409</v>
      </c>
      <c r="D75" s="117" t="s">
        <v>742</v>
      </c>
      <c r="E75" s="68" t="s">
        <v>743</v>
      </c>
      <c r="F75" s="68" t="s">
        <v>241</v>
      </c>
      <c r="G75" s="118">
        <v>14.843</v>
      </c>
      <c r="H75" s="118"/>
      <c r="I75" s="118">
        <v>14.843</v>
      </c>
      <c r="J75" s="118"/>
      <c r="K75" s="119">
        <v>6.7506680000000001</v>
      </c>
      <c r="L75" s="119">
        <v>100.750668</v>
      </c>
      <c r="M75" s="119">
        <v>6.638325</v>
      </c>
      <c r="N75" s="119">
        <v>100.697957</v>
      </c>
    </row>
    <row r="76" spans="1:14" s="24" customFormat="1">
      <c r="A76" s="68">
        <f t="shared" si="2"/>
        <v>4</v>
      </c>
      <c r="B76" s="68" t="s">
        <v>1254</v>
      </c>
      <c r="C76" s="117" t="s">
        <v>1410</v>
      </c>
      <c r="D76" s="117" t="s">
        <v>744</v>
      </c>
      <c r="E76" s="68" t="s">
        <v>745</v>
      </c>
      <c r="F76" s="68" t="s">
        <v>241</v>
      </c>
      <c r="G76" s="118">
        <v>37.64</v>
      </c>
      <c r="H76" s="118"/>
      <c r="I76" s="118">
        <v>37.64</v>
      </c>
      <c r="J76" s="118"/>
      <c r="K76" s="119">
        <v>6.9391720000000001</v>
      </c>
      <c r="L76" s="119">
        <v>100.812513</v>
      </c>
      <c r="M76" s="119">
        <v>7.1686180000000004</v>
      </c>
      <c r="N76" s="119">
        <v>100.63043399999999</v>
      </c>
    </row>
    <row r="77" spans="1:14" s="24" customFormat="1">
      <c r="A77" s="68">
        <f t="shared" si="2"/>
        <v>5</v>
      </c>
      <c r="B77" s="68" t="s">
        <v>746</v>
      </c>
      <c r="C77" s="117" t="s">
        <v>1411</v>
      </c>
      <c r="D77" s="117" t="s">
        <v>747</v>
      </c>
      <c r="E77" s="68" t="s">
        <v>748</v>
      </c>
      <c r="F77" s="68" t="s">
        <v>241</v>
      </c>
      <c r="G77" s="118">
        <v>16.419</v>
      </c>
      <c r="H77" s="118"/>
      <c r="I77" s="118">
        <v>16.419</v>
      </c>
      <c r="J77" s="118"/>
      <c r="K77" s="119">
        <v>7.0621080000000003</v>
      </c>
      <c r="L77" s="119">
        <v>100.523945</v>
      </c>
      <c r="M77" s="119">
        <v>7.0704659999999997</v>
      </c>
      <c r="N77" s="119">
        <v>100.636802</v>
      </c>
    </row>
    <row r="78" spans="1:14" s="24" customFormat="1">
      <c r="A78" s="68">
        <f t="shared" si="2"/>
        <v>6</v>
      </c>
      <c r="B78" s="68" t="s">
        <v>1255</v>
      </c>
      <c r="C78" s="117" t="s">
        <v>1412</v>
      </c>
      <c r="D78" s="117" t="s">
        <v>749</v>
      </c>
      <c r="E78" s="68" t="s">
        <v>750</v>
      </c>
      <c r="F78" s="68" t="s">
        <v>241</v>
      </c>
      <c r="G78" s="118">
        <v>20.355</v>
      </c>
      <c r="H78" s="118"/>
      <c r="I78" s="118">
        <v>20.355</v>
      </c>
      <c r="J78" s="118"/>
      <c r="K78" s="119">
        <v>6.7179710000000004</v>
      </c>
      <c r="L78" s="119">
        <v>100.860221</v>
      </c>
      <c r="M78" s="119">
        <v>6.809704</v>
      </c>
      <c r="N78" s="119">
        <v>100.955686</v>
      </c>
    </row>
    <row r="79" spans="1:14" s="24" customFormat="1">
      <c r="A79" s="68">
        <f t="shared" si="2"/>
        <v>7</v>
      </c>
      <c r="B79" s="68" t="s">
        <v>751</v>
      </c>
      <c r="C79" s="117" t="s">
        <v>1413</v>
      </c>
      <c r="D79" s="117" t="s">
        <v>752</v>
      </c>
      <c r="E79" s="68" t="s">
        <v>752</v>
      </c>
      <c r="F79" s="68" t="s">
        <v>241</v>
      </c>
      <c r="G79" s="118">
        <v>3.5569999999999999</v>
      </c>
      <c r="H79" s="118"/>
      <c r="I79" s="118"/>
      <c r="J79" s="118">
        <v>3.5569999999999999</v>
      </c>
      <c r="K79" s="119">
        <v>6.6438949999999997</v>
      </c>
      <c r="L79" s="119">
        <v>100.42594099999999</v>
      </c>
      <c r="M79" s="119">
        <v>6.6270569999999998</v>
      </c>
      <c r="N79" s="119">
        <v>100.42165</v>
      </c>
    </row>
    <row r="80" spans="1:14" s="24" customFormat="1">
      <c r="A80" s="68">
        <f t="shared" si="2"/>
        <v>8</v>
      </c>
      <c r="B80" s="68" t="s">
        <v>753</v>
      </c>
      <c r="C80" s="117" t="s">
        <v>1414</v>
      </c>
      <c r="D80" s="117" t="s">
        <v>754</v>
      </c>
      <c r="E80" s="68" t="s">
        <v>755</v>
      </c>
      <c r="F80" s="68" t="s">
        <v>241</v>
      </c>
      <c r="G80" s="118">
        <v>17.100000000000001</v>
      </c>
      <c r="H80" s="118"/>
      <c r="I80" s="118">
        <v>16.942</v>
      </c>
      <c r="J80" s="118">
        <v>0.158</v>
      </c>
      <c r="K80" s="119">
        <v>7.7751859999999997</v>
      </c>
      <c r="L80" s="119">
        <v>100.32174999999999</v>
      </c>
      <c r="M80" s="119">
        <v>7.6349450000000001</v>
      </c>
      <c r="N80" s="119">
        <v>100.32926</v>
      </c>
    </row>
    <row r="81" spans="1:14" s="24" customFormat="1">
      <c r="A81" s="68">
        <f t="shared" si="2"/>
        <v>9</v>
      </c>
      <c r="B81" s="68" t="s">
        <v>756</v>
      </c>
      <c r="C81" s="117" t="s">
        <v>1415</v>
      </c>
      <c r="D81" s="117" t="s">
        <v>757</v>
      </c>
      <c r="E81" s="68" t="s">
        <v>758</v>
      </c>
      <c r="F81" s="68" t="s">
        <v>241</v>
      </c>
      <c r="G81" s="118">
        <v>8.4499999999999993</v>
      </c>
      <c r="H81" s="118"/>
      <c r="I81" s="118">
        <v>8.4499999999999993</v>
      </c>
      <c r="J81" s="118"/>
      <c r="K81" s="119">
        <v>7.2214729999999996</v>
      </c>
      <c r="L81" s="119">
        <v>100.557495</v>
      </c>
      <c r="M81" s="119">
        <v>7.2619850000000001</v>
      </c>
      <c r="N81" s="119">
        <v>100.524021</v>
      </c>
    </row>
    <row r="82" spans="1:14" s="24" customFormat="1">
      <c r="A82" s="68">
        <f t="shared" si="2"/>
        <v>10</v>
      </c>
      <c r="B82" s="68" t="s">
        <v>759</v>
      </c>
      <c r="C82" s="117" t="s">
        <v>1416</v>
      </c>
      <c r="D82" s="117" t="s">
        <v>760</v>
      </c>
      <c r="E82" s="68" t="s">
        <v>761</v>
      </c>
      <c r="F82" s="68" t="s">
        <v>241</v>
      </c>
      <c r="G82" s="118">
        <v>13.875</v>
      </c>
      <c r="H82" s="118"/>
      <c r="I82" s="118">
        <v>13.875</v>
      </c>
      <c r="J82" s="118"/>
      <c r="K82" s="119">
        <v>6.6137740000000003</v>
      </c>
      <c r="L82" s="119">
        <v>100.95062</v>
      </c>
      <c r="M82" s="119">
        <v>6.6013679999999999</v>
      </c>
      <c r="N82" s="119">
        <v>100.858953</v>
      </c>
    </row>
    <row r="83" spans="1:14" s="24" customFormat="1">
      <c r="A83" s="68">
        <f t="shared" si="2"/>
        <v>11</v>
      </c>
      <c r="B83" s="68" t="s">
        <v>1256</v>
      </c>
      <c r="C83" s="117" t="s">
        <v>1417</v>
      </c>
      <c r="D83" s="117" t="s">
        <v>762</v>
      </c>
      <c r="E83" s="68" t="s">
        <v>763</v>
      </c>
      <c r="F83" s="68" t="s">
        <v>241</v>
      </c>
      <c r="G83" s="107">
        <v>7.55</v>
      </c>
      <c r="H83" s="107"/>
      <c r="I83" s="107">
        <v>7.55</v>
      </c>
      <c r="J83" s="118"/>
      <c r="K83" s="119">
        <v>6.5625669999999996</v>
      </c>
      <c r="L83" s="119">
        <v>100.240826</v>
      </c>
      <c r="M83" s="119">
        <v>6.5834619999999999</v>
      </c>
      <c r="N83" s="119">
        <v>100.210131</v>
      </c>
    </row>
    <row r="84" spans="1:14" s="24" customFormat="1">
      <c r="A84" s="68">
        <f t="shared" si="2"/>
        <v>12</v>
      </c>
      <c r="B84" s="68" t="s">
        <v>764</v>
      </c>
      <c r="C84" s="117" t="s">
        <v>1418</v>
      </c>
      <c r="D84" s="117" t="s">
        <v>765</v>
      </c>
      <c r="E84" s="68" t="s">
        <v>766</v>
      </c>
      <c r="F84" s="68" t="s">
        <v>241</v>
      </c>
      <c r="G84" s="118">
        <v>7.45</v>
      </c>
      <c r="H84" s="118"/>
      <c r="I84" s="118">
        <v>7.45</v>
      </c>
      <c r="J84" s="118"/>
      <c r="K84" s="119">
        <v>7.2608610000000002</v>
      </c>
      <c r="L84" s="119">
        <v>100.396908</v>
      </c>
      <c r="M84" s="119">
        <v>7.2799110000000002</v>
      </c>
      <c r="N84" s="119">
        <v>100.45643099999999</v>
      </c>
    </row>
    <row r="85" spans="1:14" s="24" customFormat="1">
      <c r="A85" s="68">
        <f t="shared" si="2"/>
        <v>13</v>
      </c>
      <c r="B85" s="68" t="s">
        <v>767</v>
      </c>
      <c r="C85" s="117" t="s">
        <v>1419</v>
      </c>
      <c r="D85" s="117" t="s">
        <v>768</v>
      </c>
      <c r="E85" s="68" t="s">
        <v>769</v>
      </c>
      <c r="F85" s="68" t="s">
        <v>241</v>
      </c>
      <c r="G85" s="118">
        <v>10.659000000000001</v>
      </c>
      <c r="H85" s="118"/>
      <c r="I85" s="118">
        <v>10.659000000000001</v>
      </c>
      <c r="J85" s="118"/>
      <c r="K85" s="119">
        <v>7.0993539999999999</v>
      </c>
      <c r="L85" s="119">
        <v>100.56693300000001</v>
      </c>
      <c r="M85" s="119">
        <v>7.0592779999999999</v>
      </c>
      <c r="N85" s="119">
        <v>100.64523199999999</v>
      </c>
    </row>
    <row r="86" spans="1:14" s="24" customFormat="1">
      <c r="A86" s="68">
        <f t="shared" si="2"/>
        <v>14</v>
      </c>
      <c r="B86" s="68" t="s">
        <v>770</v>
      </c>
      <c r="C86" s="117" t="s">
        <v>1420</v>
      </c>
      <c r="D86" s="117" t="s">
        <v>771</v>
      </c>
      <c r="E86" s="68" t="s">
        <v>737</v>
      </c>
      <c r="F86" s="68" t="s">
        <v>241</v>
      </c>
      <c r="G86" s="118">
        <v>10.37</v>
      </c>
      <c r="H86" s="118"/>
      <c r="I86" s="118">
        <v>10.37</v>
      </c>
      <c r="J86" s="118"/>
      <c r="K86" s="119">
        <v>7.799944</v>
      </c>
      <c r="L86" s="119">
        <v>100.26358500000001</v>
      </c>
      <c r="M86" s="119">
        <v>7.9015500000000003</v>
      </c>
      <c r="N86" s="119">
        <v>100.239628</v>
      </c>
    </row>
    <row r="87" spans="1:14" s="24" customFormat="1">
      <c r="A87" s="68">
        <f t="shared" si="2"/>
        <v>15</v>
      </c>
      <c r="B87" s="68" t="s">
        <v>772</v>
      </c>
      <c r="C87" s="117" t="s">
        <v>1421</v>
      </c>
      <c r="D87" s="117" t="s">
        <v>773</v>
      </c>
      <c r="E87" s="68" t="s">
        <v>774</v>
      </c>
      <c r="F87" s="68" t="s">
        <v>241</v>
      </c>
      <c r="G87" s="118">
        <v>8.3000000000000007</v>
      </c>
      <c r="H87" s="118"/>
      <c r="I87" s="118">
        <v>8.3000000000000007</v>
      </c>
      <c r="J87" s="118"/>
      <c r="K87" s="119">
        <v>6.9169689999999999</v>
      </c>
      <c r="L87" s="119">
        <v>100.73698400000001</v>
      </c>
      <c r="M87" s="119">
        <v>6.9795059999999998</v>
      </c>
      <c r="N87" s="119">
        <v>100.765737</v>
      </c>
    </row>
    <row r="88" spans="1:14" s="24" customFormat="1">
      <c r="A88" s="68">
        <f t="shared" si="2"/>
        <v>16</v>
      </c>
      <c r="B88" s="68" t="s">
        <v>775</v>
      </c>
      <c r="C88" s="117" t="s">
        <v>1422</v>
      </c>
      <c r="D88" s="117"/>
      <c r="E88" s="68" t="s">
        <v>743</v>
      </c>
      <c r="F88" s="68" t="s">
        <v>241</v>
      </c>
      <c r="G88" s="134">
        <v>7.9530000000000003</v>
      </c>
      <c r="H88" s="134">
        <v>2.883</v>
      </c>
      <c r="I88" s="134">
        <v>5.07</v>
      </c>
      <c r="J88" s="118"/>
      <c r="K88" s="119">
        <v>6.7128540000000001</v>
      </c>
      <c r="L88" s="119">
        <v>100.783462</v>
      </c>
      <c r="M88" s="119">
        <v>6.7102120000000003</v>
      </c>
      <c r="N88" s="119">
        <v>100.799255</v>
      </c>
    </row>
    <row r="89" spans="1:14" s="24" customFormat="1">
      <c r="A89" s="68">
        <f t="shared" si="2"/>
        <v>17</v>
      </c>
      <c r="B89" s="68" t="s">
        <v>1257</v>
      </c>
      <c r="C89" s="117" t="s">
        <v>1423</v>
      </c>
      <c r="D89" s="117" t="s">
        <v>776</v>
      </c>
      <c r="E89" s="68" t="s">
        <v>777</v>
      </c>
      <c r="F89" s="68" t="s">
        <v>241</v>
      </c>
      <c r="G89" s="118">
        <v>34.1</v>
      </c>
      <c r="H89" s="107"/>
      <c r="I89" s="107">
        <v>34.1</v>
      </c>
      <c r="J89" s="118"/>
      <c r="K89" s="119">
        <v>6.5302210000000001</v>
      </c>
      <c r="L89" s="119">
        <v>100.43211599999999</v>
      </c>
      <c r="M89" s="119">
        <v>6.5051639999999997</v>
      </c>
      <c r="N89" s="119">
        <v>100.28299800000001</v>
      </c>
    </row>
    <row r="90" spans="1:14" s="24" customFormat="1">
      <c r="A90" s="68">
        <f t="shared" si="2"/>
        <v>18</v>
      </c>
      <c r="B90" s="68" t="s">
        <v>778</v>
      </c>
      <c r="C90" s="117" t="s">
        <v>1424</v>
      </c>
      <c r="D90" s="117" t="s">
        <v>779</v>
      </c>
      <c r="E90" s="68" t="s">
        <v>780</v>
      </c>
      <c r="F90" s="68" t="s">
        <v>241</v>
      </c>
      <c r="G90" s="118">
        <v>6.7629999999999999</v>
      </c>
      <c r="H90" s="118"/>
      <c r="I90" s="118">
        <v>6.7629999999999999</v>
      </c>
      <c r="J90" s="118"/>
      <c r="K90" s="119">
        <v>7.2478999999999996</v>
      </c>
      <c r="L90" s="119">
        <v>100.33805599999999</v>
      </c>
      <c r="M90" s="119">
        <v>7.2601719999999998</v>
      </c>
      <c r="N90" s="119">
        <v>100.39633499999999</v>
      </c>
    </row>
    <row r="91" spans="1:14" s="24" customFormat="1">
      <c r="A91" s="68">
        <f t="shared" si="2"/>
        <v>19</v>
      </c>
      <c r="B91" s="68" t="s">
        <v>781</v>
      </c>
      <c r="C91" s="117" t="s">
        <v>1425</v>
      </c>
      <c r="D91" s="117" t="s">
        <v>782</v>
      </c>
      <c r="E91" s="68" t="s">
        <v>737</v>
      </c>
      <c r="F91" s="68" t="s">
        <v>241</v>
      </c>
      <c r="G91" s="118">
        <v>15.875</v>
      </c>
      <c r="H91" s="118"/>
      <c r="I91" s="118">
        <v>15.875</v>
      </c>
      <c r="J91" s="118"/>
      <c r="K91" s="119">
        <v>7.7831000000000001</v>
      </c>
      <c r="L91" s="119">
        <v>100.33934600000001</v>
      </c>
      <c r="M91" s="119">
        <v>7.9133659999999999</v>
      </c>
      <c r="N91" s="119">
        <v>100.309032</v>
      </c>
    </row>
    <row r="92" spans="1:14" s="24" customFormat="1">
      <c r="A92" s="68">
        <f t="shared" si="2"/>
        <v>20</v>
      </c>
      <c r="B92" s="68" t="s">
        <v>1258</v>
      </c>
      <c r="C92" s="117" t="s">
        <v>1426</v>
      </c>
      <c r="D92" s="117" t="s">
        <v>783</v>
      </c>
      <c r="E92" s="68" t="s">
        <v>780</v>
      </c>
      <c r="F92" s="68" t="s">
        <v>241</v>
      </c>
      <c r="G92" s="118">
        <v>8.8000000000000007</v>
      </c>
      <c r="H92" s="118"/>
      <c r="I92" s="118">
        <v>8.8000000000000007</v>
      </c>
      <c r="J92" s="118"/>
      <c r="K92" s="119">
        <v>7.0989680000000002</v>
      </c>
      <c r="L92" s="119">
        <v>100.338686</v>
      </c>
      <c r="M92" s="119">
        <v>7.1533259999999999</v>
      </c>
      <c r="N92" s="119">
        <v>100.381665</v>
      </c>
    </row>
    <row r="93" spans="1:14" s="24" customFormat="1">
      <c r="A93" s="68">
        <f t="shared" si="2"/>
        <v>21</v>
      </c>
      <c r="B93" s="68" t="s">
        <v>784</v>
      </c>
      <c r="C93" s="117" t="s">
        <v>1427</v>
      </c>
      <c r="D93" s="117" t="s">
        <v>785</v>
      </c>
      <c r="E93" s="68" t="s">
        <v>758</v>
      </c>
      <c r="F93" s="68" t="s">
        <v>241</v>
      </c>
      <c r="G93" s="118">
        <v>10.621</v>
      </c>
      <c r="H93" s="118"/>
      <c r="I93" s="118">
        <v>10.621</v>
      </c>
      <c r="J93" s="118"/>
      <c r="K93" s="119">
        <v>7.3467390000000004</v>
      </c>
      <c r="L93" s="119">
        <v>100.476941</v>
      </c>
      <c r="M93" s="119">
        <v>7.384576</v>
      </c>
      <c r="N93" s="119">
        <v>100.421204</v>
      </c>
    </row>
    <row r="94" spans="1:14" s="24" customFormat="1">
      <c r="A94" s="68">
        <f t="shared" si="2"/>
        <v>22</v>
      </c>
      <c r="B94" s="68" t="s">
        <v>1259</v>
      </c>
      <c r="C94" s="117" t="s">
        <v>1428</v>
      </c>
      <c r="D94" s="117" t="s">
        <v>786</v>
      </c>
      <c r="E94" s="68" t="s">
        <v>763</v>
      </c>
      <c r="F94" s="68" t="s">
        <v>241</v>
      </c>
      <c r="G94" s="118">
        <v>11.699</v>
      </c>
      <c r="H94" s="118"/>
      <c r="I94" s="118">
        <v>11.699</v>
      </c>
      <c r="J94" s="118"/>
      <c r="K94" s="119">
        <v>6.9769509999999997</v>
      </c>
      <c r="L94" s="119">
        <v>100.340238</v>
      </c>
      <c r="M94" s="119">
        <v>6.9442349999999999</v>
      </c>
      <c r="N94" s="119">
        <v>100.249869</v>
      </c>
    </row>
    <row r="95" spans="1:14" s="24" customFormat="1">
      <c r="A95" s="68">
        <f t="shared" si="2"/>
        <v>23</v>
      </c>
      <c r="B95" s="68" t="s">
        <v>787</v>
      </c>
      <c r="C95" s="117" t="s">
        <v>1429</v>
      </c>
      <c r="D95" s="117" t="s">
        <v>788</v>
      </c>
      <c r="E95" s="68" t="s">
        <v>752</v>
      </c>
      <c r="F95" s="68" t="s">
        <v>241</v>
      </c>
      <c r="G95" s="118">
        <v>20.315000000000001</v>
      </c>
      <c r="H95" s="118"/>
      <c r="I95" s="118">
        <v>20.315000000000001</v>
      </c>
      <c r="J95" s="118"/>
      <c r="K95" s="119">
        <v>6.7880919999999998</v>
      </c>
      <c r="L95" s="119">
        <v>100.441774</v>
      </c>
      <c r="M95" s="119">
        <v>6.6705310000000004</v>
      </c>
      <c r="N95" s="119">
        <v>100.32425600000001</v>
      </c>
    </row>
    <row r="96" spans="1:14" s="24" customFormat="1">
      <c r="A96" s="68">
        <f t="shared" si="2"/>
        <v>24</v>
      </c>
      <c r="B96" s="68" t="s">
        <v>789</v>
      </c>
      <c r="C96" s="117" t="s">
        <v>1430</v>
      </c>
      <c r="D96" s="117" t="s">
        <v>790</v>
      </c>
      <c r="E96" s="68" t="s">
        <v>750</v>
      </c>
      <c r="F96" s="68" t="s">
        <v>241</v>
      </c>
      <c r="G96" s="118">
        <v>7.85</v>
      </c>
      <c r="H96" s="118"/>
      <c r="I96" s="118">
        <v>7.85</v>
      </c>
      <c r="J96" s="118"/>
      <c r="K96" s="119">
        <v>6.7393099999999997</v>
      </c>
      <c r="L96" s="119">
        <v>101.003551</v>
      </c>
      <c r="M96" s="119">
        <v>6.7797700000000001</v>
      </c>
      <c r="N96" s="119">
        <v>101.026639</v>
      </c>
    </row>
    <row r="97" spans="1:14" s="24" customFormat="1">
      <c r="A97" s="68">
        <f t="shared" si="2"/>
        <v>25</v>
      </c>
      <c r="B97" s="68" t="s">
        <v>1260</v>
      </c>
      <c r="C97" s="117" t="s">
        <v>1431</v>
      </c>
      <c r="D97" s="117" t="s">
        <v>791</v>
      </c>
      <c r="E97" s="68" t="s">
        <v>763</v>
      </c>
      <c r="F97" s="68" t="s">
        <v>241</v>
      </c>
      <c r="G97" s="107">
        <v>3.4140000000000001</v>
      </c>
      <c r="H97" s="107">
        <v>2.9279999999999999</v>
      </c>
      <c r="I97" s="107"/>
      <c r="J97" s="107">
        <v>0.48599999999999999</v>
      </c>
      <c r="K97" s="119">
        <v>6.9953989999999999</v>
      </c>
      <c r="L97" s="119">
        <v>100.46008</v>
      </c>
      <c r="M97" s="119">
        <v>6.9945370000000002</v>
      </c>
      <c r="N97" s="119">
        <v>100.45643200000001</v>
      </c>
    </row>
    <row r="98" spans="1:14" s="24" customFormat="1">
      <c r="A98" s="68">
        <f t="shared" si="2"/>
        <v>26</v>
      </c>
      <c r="B98" s="68" t="s">
        <v>792</v>
      </c>
      <c r="C98" s="117" t="s">
        <v>1432</v>
      </c>
      <c r="D98" s="117" t="s">
        <v>793</v>
      </c>
      <c r="E98" s="68" t="s">
        <v>794</v>
      </c>
      <c r="F98" s="68" t="s">
        <v>241</v>
      </c>
      <c r="G98" s="118">
        <v>16.114999999999998</v>
      </c>
      <c r="H98" s="118"/>
      <c r="I98" s="118">
        <v>16.114999999999998</v>
      </c>
      <c r="J98" s="118"/>
      <c r="K98" s="119">
        <v>6.956836</v>
      </c>
      <c r="L98" s="119">
        <v>100.561967</v>
      </c>
      <c r="M98" s="119">
        <v>6.9055859999999996</v>
      </c>
      <c r="N98" s="119">
        <v>100.635867</v>
      </c>
    </row>
    <row r="99" spans="1:14" s="24" customFormat="1">
      <c r="A99" s="68">
        <f t="shared" si="2"/>
        <v>27</v>
      </c>
      <c r="B99" s="68" t="s">
        <v>1261</v>
      </c>
      <c r="C99" s="117" t="s">
        <v>1433</v>
      </c>
      <c r="D99" s="117" t="s">
        <v>795</v>
      </c>
      <c r="E99" s="68" t="s">
        <v>796</v>
      </c>
      <c r="F99" s="68" t="s">
        <v>241</v>
      </c>
      <c r="G99" s="118">
        <v>13.2</v>
      </c>
      <c r="H99" s="118"/>
      <c r="I99" s="118">
        <v>13.2</v>
      </c>
      <c r="J99" s="118"/>
      <c r="K99" s="119">
        <v>6.9783910000000002</v>
      </c>
      <c r="L99" s="119">
        <v>100.57858</v>
      </c>
      <c r="M99" s="119">
        <v>7.0933900000000003</v>
      </c>
      <c r="N99" s="119">
        <v>100.563925</v>
      </c>
    </row>
    <row r="100" spans="1:14" s="24" customFormat="1">
      <c r="A100" s="68">
        <f t="shared" si="2"/>
        <v>28</v>
      </c>
      <c r="B100" s="68" t="s">
        <v>797</v>
      </c>
      <c r="C100" s="117" t="s">
        <v>1488</v>
      </c>
      <c r="D100" s="117"/>
      <c r="E100" s="68" t="s">
        <v>743</v>
      </c>
      <c r="F100" s="68" t="s">
        <v>241</v>
      </c>
      <c r="G100" s="118">
        <v>8.375</v>
      </c>
      <c r="H100" s="118"/>
      <c r="I100" s="118">
        <v>8.375</v>
      </c>
      <c r="J100" s="118"/>
      <c r="K100" s="119">
        <v>6.7095390000000004</v>
      </c>
      <c r="L100" s="119">
        <v>100.74555599999999</v>
      </c>
      <c r="M100" s="119">
        <v>6.7374549999999997</v>
      </c>
      <c r="N100" s="119">
        <v>100.720687</v>
      </c>
    </row>
    <row r="101" spans="1:14" s="24" customFormat="1">
      <c r="A101" s="68">
        <f t="shared" si="2"/>
        <v>29</v>
      </c>
      <c r="B101" s="68" t="s">
        <v>798</v>
      </c>
      <c r="C101" s="117" t="s">
        <v>1489</v>
      </c>
      <c r="D101" s="117" t="s">
        <v>799</v>
      </c>
      <c r="E101" s="68" t="s">
        <v>800</v>
      </c>
      <c r="F101" s="68" t="s">
        <v>241</v>
      </c>
      <c r="G101" s="134">
        <v>20.67</v>
      </c>
      <c r="H101" s="134"/>
      <c r="I101" s="134">
        <v>20.67</v>
      </c>
      <c r="J101" s="118"/>
      <c r="K101" s="119">
        <v>6.7713789999999996</v>
      </c>
      <c r="L101" s="119">
        <v>100.372388</v>
      </c>
      <c r="M101" s="119">
        <v>6.9104359999999998</v>
      </c>
      <c r="N101" s="119">
        <v>100.412621</v>
      </c>
    </row>
    <row r="102" spans="1:14" s="24" customFormat="1">
      <c r="A102" s="68">
        <f t="shared" si="2"/>
        <v>30</v>
      </c>
      <c r="B102" s="68" t="s">
        <v>801</v>
      </c>
      <c r="C102" s="117" t="s">
        <v>1490</v>
      </c>
      <c r="D102" s="117" t="s">
        <v>739</v>
      </c>
      <c r="E102" s="68" t="s">
        <v>740</v>
      </c>
      <c r="F102" s="68" t="s">
        <v>241</v>
      </c>
      <c r="G102" s="118">
        <v>10.065</v>
      </c>
      <c r="H102" s="118"/>
      <c r="I102" s="118">
        <v>10.065</v>
      </c>
      <c r="J102" s="118"/>
      <c r="K102" s="119">
        <v>7.1302250000000003</v>
      </c>
      <c r="L102" s="119">
        <v>100.31068</v>
      </c>
      <c r="M102" s="119">
        <v>7.0870860000000002</v>
      </c>
      <c r="N102" s="119">
        <v>100.246736</v>
      </c>
    </row>
    <row r="103" spans="1:14" s="24" customFormat="1">
      <c r="A103" s="68">
        <f t="shared" si="2"/>
        <v>31</v>
      </c>
      <c r="B103" s="68" t="s">
        <v>802</v>
      </c>
      <c r="C103" s="117" t="s">
        <v>1491</v>
      </c>
      <c r="D103" s="117" t="s">
        <v>803</v>
      </c>
      <c r="E103" s="68" t="s">
        <v>750</v>
      </c>
      <c r="F103" s="68" t="s">
        <v>241</v>
      </c>
      <c r="G103" s="118">
        <v>15.683999999999999</v>
      </c>
      <c r="H103" s="118"/>
      <c r="I103" s="118">
        <v>15.683999999999999</v>
      </c>
      <c r="J103" s="118"/>
      <c r="K103" s="119">
        <v>6.9007360000000002</v>
      </c>
      <c r="L103" s="119">
        <v>100.911108</v>
      </c>
      <c r="M103" s="119">
        <v>6.8108110000000002</v>
      </c>
      <c r="N103" s="119">
        <v>100.92876699999999</v>
      </c>
    </row>
    <row r="104" spans="1:14" s="24" customFormat="1">
      <c r="A104" s="68">
        <f t="shared" si="2"/>
        <v>32</v>
      </c>
      <c r="B104" s="68" t="s">
        <v>804</v>
      </c>
      <c r="C104" s="117" t="s">
        <v>1492</v>
      </c>
      <c r="D104" s="117" t="s">
        <v>786</v>
      </c>
      <c r="E104" s="68" t="s">
        <v>763</v>
      </c>
      <c r="F104" s="68" t="s">
        <v>241</v>
      </c>
      <c r="G104" s="118">
        <v>8.8550000000000004</v>
      </c>
      <c r="H104" s="107"/>
      <c r="I104" s="107">
        <v>8.8550000000000004</v>
      </c>
      <c r="J104" s="118"/>
      <c r="K104" s="119">
        <v>6.9390210000000003</v>
      </c>
      <c r="L104" s="119">
        <v>100.39977399999999</v>
      </c>
      <c r="M104" s="119">
        <v>6.9690320000000003</v>
      </c>
      <c r="N104" s="119">
        <v>100.391899</v>
      </c>
    </row>
    <row r="105" spans="1:14" s="24" customFormat="1">
      <c r="A105" s="68">
        <f t="shared" si="2"/>
        <v>33</v>
      </c>
      <c r="B105" s="68" t="s">
        <v>805</v>
      </c>
      <c r="C105" s="117" t="s">
        <v>1493</v>
      </c>
      <c r="D105" s="117" t="s">
        <v>806</v>
      </c>
      <c r="E105" s="68" t="s">
        <v>758</v>
      </c>
      <c r="F105" s="68" t="s">
        <v>241</v>
      </c>
      <c r="G105" s="118">
        <v>12.936999999999999</v>
      </c>
      <c r="H105" s="118"/>
      <c r="I105" s="118">
        <v>12.936999999999999</v>
      </c>
      <c r="J105" s="118"/>
      <c r="K105" s="119">
        <v>7.3211300000000001</v>
      </c>
      <c r="L105" s="119">
        <v>100.488636</v>
      </c>
      <c r="M105" s="119">
        <v>7.2372519999999998</v>
      </c>
      <c r="N105" s="119">
        <v>100.521944</v>
      </c>
    </row>
    <row r="106" spans="1:14" s="24" customFormat="1">
      <c r="A106" s="68">
        <f t="shared" si="2"/>
        <v>34</v>
      </c>
      <c r="B106" s="68" t="s">
        <v>807</v>
      </c>
      <c r="C106" s="117" t="s">
        <v>1494</v>
      </c>
      <c r="D106" s="117" t="s">
        <v>808</v>
      </c>
      <c r="E106" s="68" t="s">
        <v>752</v>
      </c>
      <c r="F106" s="68" t="s">
        <v>241</v>
      </c>
      <c r="G106" s="118">
        <v>5.0999999999999996</v>
      </c>
      <c r="H106" s="118">
        <v>4.8499999999999996</v>
      </c>
      <c r="I106" s="118"/>
      <c r="J106" s="118">
        <v>0.25</v>
      </c>
      <c r="K106" s="119">
        <v>6.7752920000000003</v>
      </c>
      <c r="L106" s="119">
        <v>100.596627</v>
      </c>
      <c r="M106" s="119">
        <v>6.7976429999999999</v>
      </c>
      <c r="N106" s="119">
        <v>100.498987</v>
      </c>
    </row>
    <row r="107" spans="1:14" s="24" customFormat="1">
      <c r="A107" s="68">
        <f t="shared" si="2"/>
        <v>35</v>
      </c>
      <c r="B107" s="68" t="s">
        <v>809</v>
      </c>
      <c r="C107" s="117" t="s">
        <v>1495</v>
      </c>
      <c r="D107" s="117" t="s">
        <v>810</v>
      </c>
      <c r="E107" s="68" t="s">
        <v>1262</v>
      </c>
      <c r="F107" s="68" t="s">
        <v>241</v>
      </c>
      <c r="G107" s="134">
        <v>18.3</v>
      </c>
      <c r="H107" s="134"/>
      <c r="I107" s="134">
        <v>18.3</v>
      </c>
      <c r="J107" s="134"/>
      <c r="K107" s="119">
        <v>6.9486679999999996</v>
      </c>
      <c r="L107" s="119">
        <v>100.413521</v>
      </c>
      <c r="M107" s="119">
        <v>6.7965929999999997</v>
      </c>
      <c r="N107" s="119">
        <v>100.425698</v>
      </c>
    </row>
    <row r="108" spans="1:14" s="24" customFormat="1">
      <c r="A108" s="68">
        <f t="shared" si="2"/>
        <v>36</v>
      </c>
      <c r="B108" s="68" t="s">
        <v>1263</v>
      </c>
      <c r="C108" s="117" t="s">
        <v>1496</v>
      </c>
      <c r="D108" s="117" t="s">
        <v>811</v>
      </c>
      <c r="E108" s="68" t="s">
        <v>763</v>
      </c>
      <c r="F108" s="68" t="s">
        <v>241</v>
      </c>
      <c r="G108" s="118">
        <v>8.66</v>
      </c>
      <c r="H108" s="107">
        <v>4.7249999999999996</v>
      </c>
      <c r="I108" s="107">
        <v>3.9350000000000001</v>
      </c>
      <c r="J108" s="118"/>
      <c r="K108" s="119">
        <v>6.9965440000000001</v>
      </c>
      <c r="L108" s="119">
        <v>100.312319</v>
      </c>
      <c r="M108" s="119">
        <v>7.0381159999999996</v>
      </c>
      <c r="N108" s="119">
        <v>100.342488</v>
      </c>
    </row>
    <row r="109" spans="1:14" s="24" customFormat="1">
      <c r="A109" s="68">
        <f t="shared" si="2"/>
        <v>37</v>
      </c>
      <c r="B109" s="68" t="s">
        <v>1264</v>
      </c>
      <c r="C109" s="117" t="s">
        <v>1497</v>
      </c>
      <c r="D109" s="117" t="s">
        <v>786</v>
      </c>
      <c r="E109" s="68" t="s">
        <v>812</v>
      </c>
      <c r="F109" s="68" t="s">
        <v>241</v>
      </c>
      <c r="G109" s="118">
        <v>10.79</v>
      </c>
      <c r="H109" s="118">
        <v>9.2899999999999991</v>
      </c>
      <c r="I109" s="118">
        <v>1.5</v>
      </c>
      <c r="J109" s="118"/>
      <c r="K109" s="119">
        <v>6.9381640000000004</v>
      </c>
      <c r="L109" s="119">
        <v>100.37426600000001</v>
      </c>
      <c r="M109" s="119">
        <v>6.9073190000000002</v>
      </c>
      <c r="N109" s="119">
        <v>100.290667</v>
      </c>
    </row>
    <row r="110" spans="1:14" s="24" customFormat="1">
      <c r="A110" s="68">
        <f t="shared" si="2"/>
        <v>38</v>
      </c>
      <c r="B110" s="68" t="s">
        <v>1265</v>
      </c>
      <c r="C110" s="117" t="s">
        <v>1498</v>
      </c>
      <c r="D110" s="117" t="s">
        <v>786</v>
      </c>
      <c r="E110" s="68" t="s">
        <v>763</v>
      </c>
      <c r="F110" s="68" t="s">
        <v>241</v>
      </c>
      <c r="G110" s="107">
        <v>8.06</v>
      </c>
      <c r="H110" s="107">
        <v>3.59</v>
      </c>
      <c r="I110" s="107">
        <v>4.47</v>
      </c>
      <c r="J110" s="118"/>
      <c r="K110" s="119">
        <v>6.5857039999999998</v>
      </c>
      <c r="L110" s="119">
        <v>100.220122</v>
      </c>
      <c r="M110" s="119">
        <v>6.5721809999999996</v>
      </c>
      <c r="N110" s="119">
        <v>100.19059</v>
      </c>
    </row>
    <row r="111" spans="1:14" s="24" customFormat="1">
      <c r="A111" s="68">
        <f t="shared" si="2"/>
        <v>39</v>
      </c>
      <c r="B111" s="68" t="s">
        <v>813</v>
      </c>
      <c r="C111" s="117" t="s">
        <v>1499</v>
      </c>
      <c r="D111" s="117" t="s">
        <v>814</v>
      </c>
      <c r="E111" s="68" t="s">
        <v>812</v>
      </c>
      <c r="F111" s="68" t="s">
        <v>241</v>
      </c>
      <c r="G111" s="118">
        <v>9.0299999999999994</v>
      </c>
      <c r="H111" s="118">
        <v>1.585</v>
      </c>
      <c r="I111" s="118">
        <v>6.8</v>
      </c>
      <c r="J111" s="118">
        <v>0.64500000000000002</v>
      </c>
      <c r="K111" s="119">
        <v>6.9587250000000003</v>
      </c>
      <c r="L111" s="119">
        <v>100.422691</v>
      </c>
      <c r="M111" s="119">
        <v>6.9103719999999997</v>
      </c>
      <c r="N111" s="119">
        <v>100.41295</v>
      </c>
    </row>
    <row r="112" spans="1:14" s="24" customFormat="1">
      <c r="A112" s="68">
        <f t="shared" si="2"/>
        <v>40</v>
      </c>
      <c r="B112" s="68" t="s">
        <v>815</v>
      </c>
      <c r="C112" s="117" t="s">
        <v>1500</v>
      </c>
      <c r="D112" s="117" t="s">
        <v>816</v>
      </c>
      <c r="E112" s="68" t="s">
        <v>817</v>
      </c>
      <c r="F112" s="68" t="s">
        <v>241</v>
      </c>
      <c r="G112" s="107">
        <v>22.73</v>
      </c>
      <c r="H112" s="107">
        <v>14.02</v>
      </c>
      <c r="I112" s="107">
        <v>5.21</v>
      </c>
      <c r="J112" s="107">
        <v>3.5</v>
      </c>
      <c r="K112" s="119">
        <v>7.4200999999999997</v>
      </c>
      <c r="L112" s="119">
        <v>100.458231</v>
      </c>
      <c r="M112" s="119">
        <v>7.6017229999999998</v>
      </c>
      <c r="N112" s="119">
        <v>100.40092799999999</v>
      </c>
    </row>
    <row r="113" spans="1:14" s="24" customFormat="1">
      <c r="A113" s="68">
        <f t="shared" si="2"/>
        <v>41</v>
      </c>
      <c r="B113" s="68" t="s">
        <v>818</v>
      </c>
      <c r="C113" s="117" t="s">
        <v>1501</v>
      </c>
      <c r="D113" s="117" t="s">
        <v>783</v>
      </c>
      <c r="E113" s="68" t="s">
        <v>819</v>
      </c>
      <c r="F113" s="68" t="s">
        <v>241</v>
      </c>
      <c r="G113" s="107">
        <v>10.4</v>
      </c>
      <c r="H113" s="107"/>
      <c r="I113" s="107">
        <v>10.4</v>
      </c>
      <c r="J113" s="118"/>
      <c r="K113" s="119">
        <v>7.0502640000000003</v>
      </c>
      <c r="L113" s="119">
        <v>100.23298</v>
      </c>
      <c r="M113" s="119">
        <v>7.0808249999999999</v>
      </c>
      <c r="N113" s="119">
        <v>100.221064</v>
      </c>
    </row>
    <row r="114" spans="1:14" s="24" customFormat="1">
      <c r="A114" s="68">
        <f t="shared" si="2"/>
        <v>42</v>
      </c>
      <c r="B114" s="68" t="s">
        <v>820</v>
      </c>
      <c r="C114" s="117" t="s">
        <v>1502</v>
      </c>
      <c r="D114" s="117" t="s">
        <v>779</v>
      </c>
      <c r="E114" s="68" t="s">
        <v>780</v>
      </c>
      <c r="F114" s="68" t="s">
        <v>241</v>
      </c>
      <c r="G114" s="118">
        <v>6.4770000000000003</v>
      </c>
      <c r="H114" s="118"/>
      <c r="I114" s="118">
        <v>6.4770000000000003</v>
      </c>
      <c r="J114" s="118"/>
      <c r="K114" s="119">
        <v>7.2618309999999999</v>
      </c>
      <c r="L114" s="119">
        <v>100.39748299999999</v>
      </c>
      <c r="M114" s="119">
        <v>7.3124510000000003</v>
      </c>
      <c r="N114" s="119">
        <v>100.37645500000001</v>
      </c>
    </row>
    <row r="115" spans="1:14" s="24" customFormat="1">
      <c r="A115" s="68">
        <f t="shared" si="2"/>
        <v>43</v>
      </c>
      <c r="B115" s="68" t="s">
        <v>821</v>
      </c>
      <c r="C115" s="117" t="s">
        <v>1503</v>
      </c>
      <c r="D115" s="117" t="s">
        <v>822</v>
      </c>
      <c r="E115" s="68" t="s">
        <v>780</v>
      </c>
      <c r="F115" s="68" t="s">
        <v>241</v>
      </c>
      <c r="G115" s="107">
        <v>9.6750000000000007</v>
      </c>
      <c r="H115" s="107"/>
      <c r="I115" s="107">
        <v>9.6750000000000007</v>
      </c>
      <c r="J115" s="118"/>
      <c r="K115" s="119">
        <v>7.1124419999999997</v>
      </c>
      <c r="L115" s="119">
        <v>100.214788</v>
      </c>
      <c r="M115" s="119">
        <v>7.1106100000000003</v>
      </c>
      <c r="N115" s="119">
        <v>100.20503100000001</v>
      </c>
    </row>
    <row r="116" spans="1:14" s="24" customFormat="1">
      <c r="A116" s="68">
        <f t="shared" si="2"/>
        <v>44</v>
      </c>
      <c r="B116" s="68" t="s">
        <v>823</v>
      </c>
      <c r="C116" s="117" t="s">
        <v>1504</v>
      </c>
      <c r="D116" s="117" t="s">
        <v>824</v>
      </c>
      <c r="E116" s="68" t="s">
        <v>824</v>
      </c>
      <c r="F116" s="68" t="s">
        <v>241</v>
      </c>
      <c r="G116" s="118">
        <v>4.1500000000000004</v>
      </c>
      <c r="H116" s="118"/>
      <c r="I116" s="118">
        <v>4.1500000000000004</v>
      </c>
      <c r="J116" s="118"/>
      <c r="K116" s="119">
        <v>6.9061969999999997</v>
      </c>
      <c r="L116" s="119">
        <v>100.399838</v>
      </c>
      <c r="M116" s="119">
        <v>6.8720270000000001</v>
      </c>
      <c r="N116" s="119">
        <v>100.391599</v>
      </c>
    </row>
    <row r="117" spans="1:14" s="24" customFormat="1">
      <c r="A117" s="68">
        <f t="shared" si="2"/>
        <v>45</v>
      </c>
      <c r="B117" s="68" t="s">
        <v>825</v>
      </c>
      <c r="C117" s="947" t="s">
        <v>1506</v>
      </c>
      <c r="D117" s="117" t="s">
        <v>824</v>
      </c>
      <c r="E117" s="68" t="s">
        <v>824</v>
      </c>
      <c r="F117" s="68" t="s">
        <v>241</v>
      </c>
      <c r="G117" s="118">
        <v>14.28</v>
      </c>
      <c r="H117" s="118">
        <v>14.28</v>
      </c>
      <c r="I117" s="118"/>
      <c r="J117" s="118"/>
      <c r="K117" s="119">
        <v>6.8736629999999996</v>
      </c>
      <c r="L117" s="119">
        <v>100.331641</v>
      </c>
      <c r="M117" s="119">
        <v>6.9316469999999999</v>
      </c>
      <c r="N117" s="119">
        <v>100.431376</v>
      </c>
    </row>
    <row r="118" spans="1:14" s="24" customFormat="1">
      <c r="A118" s="68">
        <f t="shared" si="2"/>
        <v>46</v>
      </c>
      <c r="B118" s="68" t="s">
        <v>826</v>
      </c>
      <c r="C118" s="947" t="s">
        <v>1505</v>
      </c>
      <c r="D118" s="117" t="s">
        <v>827</v>
      </c>
      <c r="E118" s="68" t="s">
        <v>828</v>
      </c>
      <c r="F118" s="68" t="s">
        <v>241</v>
      </c>
      <c r="G118" s="118">
        <v>4.2249999999999996</v>
      </c>
      <c r="H118" s="118"/>
      <c r="I118" s="118">
        <v>4.2249999999999996</v>
      </c>
      <c r="J118" s="118"/>
      <c r="K118" s="119">
        <v>7.0309439999999999</v>
      </c>
      <c r="L118" s="119">
        <v>100.39870000000001</v>
      </c>
      <c r="M118" s="119">
        <v>7.0088030000000003</v>
      </c>
      <c r="N118" s="119">
        <v>100.368916</v>
      </c>
    </row>
    <row r="119" spans="1:14" s="24" customFormat="1">
      <c r="A119" s="68">
        <f t="shared" si="2"/>
        <v>47</v>
      </c>
      <c r="B119" s="68" t="s">
        <v>829</v>
      </c>
      <c r="C119" s="117" t="s">
        <v>1507</v>
      </c>
      <c r="D119" s="117" t="s">
        <v>830</v>
      </c>
      <c r="E119" s="68" t="s">
        <v>752</v>
      </c>
      <c r="F119" s="68" t="s">
        <v>241</v>
      </c>
      <c r="G119" s="118">
        <v>12.5</v>
      </c>
      <c r="H119" s="134">
        <v>8.4</v>
      </c>
      <c r="I119" s="134">
        <v>4.0999999999999996</v>
      </c>
      <c r="J119" s="118"/>
      <c r="K119" s="119">
        <v>6.7502209999999998</v>
      </c>
      <c r="L119" s="119">
        <v>100.451882</v>
      </c>
      <c r="M119" s="119">
        <v>6.7618559999999999</v>
      </c>
      <c r="N119" s="119">
        <v>100.52406499999999</v>
      </c>
    </row>
    <row r="120" spans="1:14" s="24" customFormat="1">
      <c r="A120" s="68">
        <f t="shared" si="2"/>
        <v>48</v>
      </c>
      <c r="B120" s="68" t="s">
        <v>831</v>
      </c>
      <c r="C120" s="117" t="s">
        <v>1508</v>
      </c>
      <c r="D120" s="117" t="s">
        <v>743</v>
      </c>
      <c r="E120" s="68" t="s">
        <v>832</v>
      </c>
      <c r="F120" s="68" t="s">
        <v>241</v>
      </c>
      <c r="G120" s="118">
        <v>7</v>
      </c>
      <c r="H120" s="118"/>
      <c r="I120" s="118">
        <v>7</v>
      </c>
      <c r="J120" s="118"/>
      <c r="K120" s="119">
        <v>6.7481949999999999</v>
      </c>
      <c r="L120" s="119">
        <v>100.696696</v>
      </c>
      <c r="M120" s="119">
        <v>6.796564</v>
      </c>
      <c r="N120" s="119">
        <v>100.683907</v>
      </c>
    </row>
    <row r="121" spans="1:14" s="24" customFormat="1">
      <c r="A121" s="68">
        <f t="shared" si="2"/>
        <v>49</v>
      </c>
      <c r="B121" s="68" t="s">
        <v>833</v>
      </c>
      <c r="C121" s="117" t="s">
        <v>1509</v>
      </c>
      <c r="D121" s="124"/>
      <c r="E121" s="68" t="s">
        <v>769</v>
      </c>
      <c r="F121" s="68" t="s">
        <v>241</v>
      </c>
      <c r="G121" s="107">
        <v>2.84</v>
      </c>
      <c r="H121" s="107"/>
      <c r="I121" s="107"/>
      <c r="J121" s="107">
        <v>2.84</v>
      </c>
      <c r="K121" s="109">
        <v>7.03</v>
      </c>
      <c r="L121" s="109">
        <v>100.50184400000001</v>
      </c>
      <c r="M121" s="109">
        <v>7.05</v>
      </c>
      <c r="N121" s="109">
        <v>100.485833</v>
      </c>
    </row>
    <row r="122" spans="1:14" s="24" customFormat="1">
      <c r="A122" s="68">
        <f t="shared" si="2"/>
        <v>50</v>
      </c>
      <c r="B122" s="68" t="s">
        <v>834</v>
      </c>
      <c r="C122" s="117" t="s">
        <v>1510</v>
      </c>
      <c r="D122" s="117"/>
      <c r="E122" s="68" t="s">
        <v>763</v>
      </c>
      <c r="F122" s="68" t="s">
        <v>241</v>
      </c>
      <c r="G122" s="107">
        <v>6.165</v>
      </c>
      <c r="H122" s="118">
        <v>2.0649999999999999</v>
      </c>
      <c r="I122" s="118">
        <v>4.0999999999999996</v>
      </c>
      <c r="J122" s="118"/>
      <c r="K122" s="119">
        <v>6.9004219999999998</v>
      </c>
      <c r="L122" s="119">
        <v>100.469853</v>
      </c>
      <c r="M122" s="119">
        <v>6.9189970000000001</v>
      </c>
      <c r="N122" s="119">
        <v>100.516803</v>
      </c>
    </row>
    <row r="123" spans="1:14" s="24" customFormat="1">
      <c r="A123" s="68">
        <f t="shared" si="2"/>
        <v>51</v>
      </c>
      <c r="B123" s="68" t="s">
        <v>835</v>
      </c>
      <c r="C123" s="117" t="s">
        <v>1511</v>
      </c>
      <c r="D123" s="117"/>
      <c r="E123" s="68" t="s">
        <v>1656</v>
      </c>
      <c r="F123" s="68" t="s">
        <v>241</v>
      </c>
      <c r="G123" s="118">
        <v>55.1</v>
      </c>
      <c r="H123" s="118"/>
      <c r="I123" s="118">
        <v>55.1</v>
      </c>
      <c r="J123" s="118"/>
      <c r="K123" s="119">
        <v>6.5275930000000004</v>
      </c>
      <c r="L123" s="119">
        <v>100.699237</v>
      </c>
      <c r="M123" s="119">
        <v>6.4100080000000004</v>
      </c>
      <c r="N123" s="119">
        <v>101.020931</v>
      </c>
    </row>
    <row r="124" spans="1:14" s="24" customFormat="1">
      <c r="A124" s="68">
        <f t="shared" si="2"/>
        <v>52</v>
      </c>
      <c r="B124" s="68" t="s">
        <v>836</v>
      </c>
      <c r="C124" s="117" t="s">
        <v>1512</v>
      </c>
      <c r="D124" s="17"/>
      <c r="E124" s="68" t="s">
        <v>743</v>
      </c>
      <c r="F124" s="68" t="s">
        <v>241</v>
      </c>
      <c r="G124" s="118">
        <v>13.28</v>
      </c>
      <c r="H124" s="118"/>
      <c r="I124" s="118">
        <v>13.28</v>
      </c>
      <c r="J124" s="118"/>
      <c r="K124" s="119">
        <v>6.6246219999999996</v>
      </c>
      <c r="L124" s="119">
        <v>100.69505599999999</v>
      </c>
      <c r="M124" s="119">
        <v>6.5376620000000001</v>
      </c>
      <c r="N124" s="119">
        <v>100.734184</v>
      </c>
    </row>
    <row r="125" spans="1:14" s="24" customFormat="1">
      <c r="A125" s="68">
        <f t="shared" si="2"/>
        <v>53</v>
      </c>
      <c r="B125" s="68" t="s">
        <v>837</v>
      </c>
      <c r="C125" s="117" t="s">
        <v>1513</v>
      </c>
      <c r="D125" s="17"/>
      <c r="E125" s="68" t="s">
        <v>752</v>
      </c>
      <c r="F125" s="68" t="s">
        <v>241</v>
      </c>
      <c r="G125" s="118">
        <v>8.65</v>
      </c>
      <c r="H125" s="118"/>
      <c r="I125" s="118">
        <v>8.65</v>
      </c>
      <c r="J125" s="118"/>
      <c r="K125" s="119">
        <v>6.6706589999999997</v>
      </c>
      <c r="L125" s="119">
        <v>100.435323</v>
      </c>
      <c r="M125" s="119">
        <v>6.6716920000000002</v>
      </c>
      <c r="N125" s="119">
        <v>100.50147699999999</v>
      </c>
    </row>
    <row r="126" spans="1:14" s="24" customFormat="1">
      <c r="A126" s="68">
        <f t="shared" si="2"/>
        <v>54</v>
      </c>
      <c r="B126" s="68" t="s">
        <v>838</v>
      </c>
      <c r="C126" s="117" t="s">
        <v>839</v>
      </c>
      <c r="D126" s="117"/>
      <c r="E126" s="68" t="s">
        <v>752</v>
      </c>
      <c r="F126" s="68" t="s">
        <v>241</v>
      </c>
      <c r="G126" s="118">
        <v>9.34</v>
      </c>
      <c r="H126" s="118"/>
      <c r="I126" s="118">
        <v>9.34</v>
      </c>
      <c r="J126" s="118"/>
      <c r="K126" s="119">
        <v>6.7504720000000002</v>
      </c>
      <c r="L126" s="119">
        <v>100.390839</v>
      </c>
      <c r="M126" s="119">
        <v>6.7799620000000003</v>
      </c>
      <c r="N126" s="119">
        <v>100.341086</v>
      </c>
    </row>
    <row r="127" spans="1:14" s="24" customFormat="1">
      <c r="A127" s="68">
        <f t="shared" si="2"/>
        <v>55</v>
      </c>
      <c r="B127" s="18" t="s">
        <v>840</v>
      </c>
      <c r="C127" s="19" t="s">
        <v>1514</v>
      </c>
      <c r="D127" s="18"/>
      <c r="E127" s="18" t="s">
        <v>752</v>
      </c>
      <c r="F127" s="68" t="s">
        <v>241</v>
      </c>
      <c r="G127" s="20">
        <v>8.6969999999999992</v>
      </c>
      <c r="H127" s="21">
        <v>0</v>
      </c>
      <c r="I127" s="21">
        <v>8.6969999999999992</v>
      </c>
      <c r="J127" s="21">
        <v>0</v>
      </c>
      <c r="K127" s="22">
        <v>6.7854299999999999</v>
      </c>
      <c r="L127" s="22">
        <v>100.40218</v>
      </c>
      <c r="M127" s="23">
        <v>6.819</v>
      </c>
      <c r="N127" s="22">
        <v>100.42758000000001</v>
      </c>
    </row>
    <row r="128" spans="1:14" s="27" customFormat="1">
      <c r="A128" s="68">
        <f t="shared" si="2"/>
        <v>56</v>
      </c>
      <c r="B128" s="18" t="s">
        <v>841</v>
      </c>
      <c r="C128" s="135" t="s">
        <v>1515</v>
      </c>
      <c r="D128" s="18"/>
      <c r="E128" s="18" t="s">
        <v>769</v>
      </c>
      <c r="F128" s="18" t="s">
        <v>241</v>
      </c>
      <c r="G128" s="20">
        <v>2.5790000000000002</v>
      </c>
      <c r="H128" s="25">
        <v>0</v>
      </c>
      <c r="I128" s="20">
        <f>+G128</f>
        <v>2.5790000000000002</v>
      </c>
      <c r="J128" s="25">
        <v>0</v>
      </c>
      <c r="K128" s="26">
        <v>7.1652969999999998</v>
      </c>
      <c r="L128" s="26">
        <v>100.549947</v>
      </c>
      <c r="M128" s="26">
        <v>7.1547720000000004</v>
      </c>
      <c r="N128" s="26">
        <v>100.533083</v>
      </c>
    </row>
    <row r="129" spans="1:14" s="27" customFormat="1">
      <c r="A129" s="68">
        <f t="shared" si="2"/>
        <v>57</v>
      </c>
      <c r="B129" s="18" t="s">
        <v>842</v>
      </c>
      <c r="C129" s="135" t="s">
        <v>1516</v>
      </c>
      <c r="D129" s="18"/>
      <c r="E129" s="18" t="s">
        <v>763</v>
      </c>
      <c r="F129" s="18" t="s">
        <v>241</v>
      </c>
      <c r="G129" s="20">
        <v>8.4</v>
      </c>
      <c r="H129" s="20">
        <f>G129-I129</f>
        <v>7.25</v>
      </c>
      <c r="I129" s="20">
        <v>1.1499999999999999</v>
      </c>
      <c r="J129" s="25">
        <v>0</v>
      </c>
      <c r="K129" s="26">
        <v>6.940391</v>
      </c>
      <c r="L129" s="26">
        <v>100.25904199999999</v>
      </c>
      <c r="M129" s="26">
        <v>6.8970529999999997</v>
      </c>
      <c r="N129" s="26">
        <v>100.235186</v>
      </c>
    </row>
    <row r="130" spans="1:14" s="27" customFormat="1">
      <c r="A130" s="68">
        <f t="shared" si="2"/>
        <v>58</v>
      </c>
      <c r="B130" s="18" t="s">
        <v>843</v>
      </c>
      <c r="C130" s="136" t="s">
        <v>1486</v>
      </c>
      <c r="D130" s="18"/>
      <c r="E130" s="18" t="s">
        <v>774</v>
      </c>
      <c r="F130" s="18" t="s">
        <v>241</v>
      </c>
      <c r="G130" s="20">
        <v>10.5</v>
      </c>
      <c r="H130" s="25">
        <v>0</v>
      </c>
      <c r="I130" s="20">
        <v>10.5</v>
      </c>
      <c r="J130" s="25">
        <v>0</v>
      </c>
      <c r="K130" s="26">
        <v>6.8153350000000001</v>
      </c>
      <c r="L130" s="26">
        <v>100.70139899999999</v>
      </c>
      <c r="M130" s="26">
        <v>6.8357890000000001</v>
      </c>
      <c r="N130" s="26">
        <v>100.62526800000001</v>
      </c>
    </row>
    <row r="131" spans="1:14" s="27" customFormat="1">
      <c r="A131" s="137">
        <f t="shared" si="2"/>
        <v>59</v>
      </c>
      <c r="B131" s="29" t="s">
        <v>844</v>
      </c>
      <c r="C131" s="138" t="s">
        <v>1487</v>
      </c>
      <c r="D131" s="29"/>
      <c r="E131" s="29" t="s">
        <v>740</v>
      </c>
      <c r="F131" s="29" t="s">
        <v>241</v>
      </c>
      <c r="G131" s="30">
        <v>12.5</v>
      </c>
      <c r="H131" s="31">
        <f>+G131-I131</f>
        <v>9</v>
      </c>
      <c r="I131" s="30">
        <v>3.5</v>
      </c>
      <c r="J131" s="32">
        <v>0</v>
      </c>
      <c r="K131" s="33">
        <v>6.8153350000000001</v>
      </c>
      <c r="L131" s="33">
        <v>100.70139899999999</v>
      </c>
      <c r="M131" s="33">
        <v>6.8357890000000001</v>
      </c>
      <c r="N131" s="33">
        <v>100.62526800000001</v>
      </c>
    </row>
    <row r="132" spans="1:14">
      <c r="A132" s="2965" t="s">
        <v>28</v>
      </c>
      <c r="B132" s="2966"/>
      <c r="C132" s="2966"/>
      <c r="D132" s="2966"/>
      <c r="E132" s="2966"/>
      <c r="F132" s="2967"/>
      <c r="G132" s="34">
        <f>SUM(G73:G131)</f>
        <v>730.72299999999996</v>
      </c>
      <c r="H132" s="34">
        <f>SUM(H73:H131)</f>
        <v>84.866</v>
      </c>
      <c r="I132" s="34">
        <f>SUM(I73:I131)</f>
        <v>634.42100000000005</v>
      </c>
      <c r="J132" s="34">
        <f>SUM(J73:J131)</f>
        <v>11.436</v>
      </c>
      <c r="K132" s="35"/>
      <c r="L132" s="35"/>
      <c r="M132" s="35"/>
      <c r="N132" s="35"/>
    </row>
    <row r="133" spans="1:14" ht="21" customHeight="1">
      <c r="A133" s="2961" t="s">
        <v>722</v>
      </c>
      <c r="B133" s="2961"/>
      <c r="C133" s="2961"/>
      <c r="D133" s="2961"/>
      <c r="E133" s="2961"/>
      <c r="F133" s="2961"/>
      <c r="G133" s="2961"/>
      <c r="H133" s="2961"/>
      <c r="I133" s="2961"/>
      <c r="J133" s="2961"/>
      <c r="K133" s="2961"/>
      <c r="L133" s="2961"/>
      <c r="M133" s="2961"/>
      <c r="N133" s="2961"/>
    </row>
    <row r="134" spans="1:14">
      <c r="A134" s="2962" t="s">
        <v>1125</v>
      </c>
      <c r="B134" s="2962"/>
      <c r="C134" s="2962"/>
      <c r="D134" s="2962"/>
      <c r="E134" s="2962"/>
      <c r="G134" s="3"/>
      <c r="H134" s="3"/>
      <c r="I134" s="3"/>
      <c r="J134" s="3"/>
      <c r="K134" s="4"/>
      <c r="L134" s="4"/>
      <c r="M134" s="4"/>
      <c r="N134" s="4"/>
    </row>
    <row r="136" spans="1:14" ht="21" customHeight="1">
      <c r="A136" s="2963" t="s">
        <v>724</v>
      </c>
      <c r="B136" s="2963" t="s">
        <v>361</v>
      </c>
      <c r="C136" s="2963" t="s">
        <v>362</v>
      </c>
      <c r="D136" s="2964" t="s">
        <v>725</v>
      </c>
      <c r="E136" s="2963" t="s">
        <v>726</v>
      </c>
      <c r="F136" s="2963" t="s">
        <v>574</v>
      </c>
      <c r="G136" s="2963" t="s">
        <v>727</v>
      </c>
      <c r="H136" s="2963" t="s">
        <v>728</v>
      </c>
      <c r="I136" s="2963"/>
      <c r="J136" s="2963"/>
      <c r="K136" s="2968" t="s">
        <v>729</v>
      </c>
      <c r="L136" s="2969"/>
      <c r="M136" s="2969"/>
      <c r="N136" s="2970"/>
    </row>
    <row r="137" spans="1:14">
      <c r="A137" s="2963"/>
      <c r="B137" s="2963"/>
      <c r="C137" s="2963"/>
      <c r="D137" s="2964"/>
      <c r="E137" s="2963"/>
      <c r="F137" s="2963"/>
      <c r="G137" s="2963"/>
      <c r="H137" s="2971" t="s">
        <v>7</v>
      </c>
      <c r="I137" s="2971" t="s">
        <v>730</v>
      </c>
      <c r="J137" s="2971" t="s">
        <v>282</v>
      </c>
      <c r="K137" s="2968" t="s">
        <v>731</v>
      </c>
      <c r="L137" s="2970"/>
      <c r="M137" s="2968" t="s">
        <v>732</v>
      </c>
      <c r="N137" s="2970"/>
    </row>
    <row r="138" spans="1:14">
      <c r="A138" s="2963"/>
      <c r="B138" s="2963"/>
      <c r="C138" s="2963"/>
      <c r="D138" s="2964"/>
      <c r="E138" s="2963"/>
      <c r="F138" s="2963"/>
      <c r="G138" s="2963"/>
      <c r="H138" s="2972"/>
      <c r="I138" s="2972"/>
      <c r="J138" s="2972"/>
      <c r="K138" s="6" t="s">
        <v>733</v>
      </c>
      <c r="L138" s="6" t="s">
        <v>734</v>
      </c>
      <c r="M138" s="6" t="s">
        <v>733</v>
      </c>
      <c r="N138" s="6" t="s">
        <v>734</v>
      </c>
    </row>
    <row r="139" spans="1:14" s="24" customFormat="1">
      <c r="A139" s="139">
        <v>1</v>
      </c>
      <c r="B139" s="139" t="s">
        <v>1126</v>
      </c>
      <c r="C139" s="140" t="s">
        <v>1517</v>
      </c>
      <c r="D139" s="140" t="s">
        <v>1127</v>
      </c>
      <c r="E139" s="139" t="s">
        <v>769</v>
      </c>
      <c r="F139" s="139" t="s">
        <v>242</v>
      </c>
      <c r="G139" s="141">
        <v>15.595000000000001</v>
      </c>
      <c r="H139" s="141"/>
      <c r="I139" s="141">
        <v>15.595000000000001</v>
      </c>
      <c r="J139" s="141"/>
      <c r="K139" s="93">
        <v>6.7584600000000004</v>
      </c>
      <c r="L139" s="93">
        <v>100.01904</v>
      </c>
      <c r="M139" s="93">
        <v>6.6612799999999996</v>
      </c>
      <c r="N139" s="93">
        <v>99.99494</v>
      </c>
    </row>
    <row r="140" spans="1:14" s="24" customFormat="1">
      <c r="A140" s="88">
        <f>+A139+1</f>
        <v>2</v>
      </c>
      <c r="B140" s="88" t="s">
        <v>1128</v>
      </c>
      <c r="C140" s="90" t="s">
        <v>1518</v>
      </c>
      <c r="D140" s="90" t="s">
        <v>1129</v>
      </c>
      <c r="E140" s="88" t="s">
        <v>1129</v>
      </c>
      <c r="F140" s="88" t="s">
        <v>242</v>
      </c>
      <c r="G140" s="92">
        <v>6.81</v>
      </c>
      <c r="H140" s="92"/>
      <c r="I140" s="92">
        <v>6.81</v>
      </c>
      <c r="J140" s="92"/>
      <c r="K140" s="94">
        <v>6.8708299999999998</v>
      </c>
      <c r="L140" s="94">
        <v>99.847629999999995</v>
      </c>
      <c r="M140" s="94">
        <v>6.8612399999999996</v>
      </c>
      <c r="N140" s="94">
        <v>99.792429999999996</v>
      </c>
    </row>
    <row r="141" spans="1:14" s="24" customFormat="1">
      <c r="A141" s="88">
        <f t="shared" ref="A141:A197" si="3">+A140+1</f>
        <v>3</v>
      </c>
      <c r="B141" s="88" t="s">
        <v>1130</v>
      </c>
      <c r="C141" s="90" t="s">
        <v>1519</v>
      </c>
      <c r="D141" s="90" t="s">
        <v>1131</v>
      </c>
      <c r="E141" s="88" t="s">
        <v>1132</v>
      </c>
      <c r="F141" s="88" t="s">
        <v>242</v>
      </c>
      <c r="G141" s="142">
        <v>32.5</v>
      </c>
      <c r="H141" s="142">
        <v>7</v>
      </c>
      <c r="I141" s="142">
        <v>25.5</v>
      </c>
      <c r="J141" s="92"/>
      <c r="K141" s="94">
        <v>6.8611700000000004</v>
      </c>
      <c r="L141" s="94">
        <v>100.01663000000001</v>
      </c>
      <c r="M141" s="94">
        <v>7.0838900000000002</v>
      </c>
      <c r="N141" s="94">
        <v>99.973429999999993</v>
      </c>
    </row>
    <row r="142" spans="1:14" s="24" customFormat="1">
      <c r="A142" s="88">
        <f t="shared" si="3"/>
        <v>4</v>
      </c>
      <c r="B142" s="88" t="s">
        <v>1133</v>
      </c>
      <c r="C142" s="90" t="s">
        <v>1520</v>
      </c>
      <c r="D142" s="90" t="s">
        <v>1134</v>
      </c>
      <c r="E142" s="88" t="s">
        <v>1135</v>
      </c>
      <c r="F142" s="88" t="s">
        <v>242</v>
      </c>
      <c r="G142" s="142">
        <v>7.5209999999999999</v>
      </c>
      <c r="H142" s="142"/>
      <c r="I142" s="142">
        <v>7.5209999999999999</v>
      </c>
      <c r="J142" s="92"/>
      <c r="K142" s="94">
        <v>6.73088</v>
      </c>
      <c r="L142" s="94">
        <v>100.0672</v>
      </c>
      <c r="M142" s="94">
        <v>6.7746300000000002</v>
      </c>
      <c r="N142" s="94">
        <v>100.10720999999999</v>
      </c>
    </row>
    <row r="143" spans="1:14" s="24" customFormat="1">
      <c r="A143" s="88">
        <f t="shared" si="3"/>
        <v>5</v>
      </c>
      <c r="B143" s="88" t="s">
        <v>1136</v>
      </c>
      <c r="C143" s="90" t="s">
        <v>1521</v>
      </c>
      <c r="D143" s="90" t="s">
        <v>1137</v>
      </c>
      <c r="E143" s="88" t="s">
        <v>1138</v>
      </c>
      <c r="F143" s="88" t="s">
        <v>242</v>
      </c>
      <c r="G143" s="92">
        <v>29.786000000000001</v>
      </c>
      <c r="H143" s="92"/>
      <c r="I143" s="92">
        <v>29.786000000000001</v>
      </c>
      <c r="J143" s="92"/>
      <c r="K143" s="94">
        <v>6.8870800000000001</v>
      </c>
      <c r="L143" s="94">
        <v>99.801100000000005</v>
      </c>
      <c r="M143" s="94">
        <v>7.0726899999999997</v>
      </c>
      <c r="N143" s="94">
        <v>99.787019999999998</v>
      </c>
    </row>
    <row r="144" spans="1:14" s="24" customFormat="1">
      <c r="A144" s="88">
        <f t="shared" si="3"/>
        <v>6</v>
      </c>
      <c r="B144" s="88" t="s">
        <v>1139</v>
      </c>
      <c r="C144" s="143" t="s">
        <v>1522</v>
      </c>
      <c r="D144" s="90" t="s">
        <v>1140</v>
      </c>
      <c r="E144" s="88" t="s">
        <v>1141</v>
      </c>
      <c r="F144" s="88" t="s">
        <v>242</v>
      </c>
      <c r="G144" s="142">
        <v>10.162000000000001</v>
      </c>
      <c r="H144" s="142"/>
      <c r="I144" s="142">
        <v>10.162000000000001</v>
      </c>
      <c r="J144" s="92"/>
      <c r="K144" s="94">
        <v>7.08223</v>
      </c>
      <c r="L144" s="94">
        <v>99.954480000000004</v>
      </c>
      <c r="M144" s="94">
        <v>7.1247800000000003</v>
      </c>
      <c r="N144" s="94">
        <v>99.997929999999997</v>
      </c>
    </row>
    <row r="145" spans="1:14" s="24" customFormat="1">
      <c r="A145" s="88">
        <f t="shared" si="3"/>
        <v>7</v>
      </c>
      <c r="B145" s="88" t="s">
        <v>1142</v>
      </c>
      <c r="C145" s="90" t="s">
        <v>1523</v>
      </c>
      <c r="D145" s="90" t="s">
        <v>1143</v>
      </c>
      <c r="E145" s="88" t="s">
        <v>1144</v>
      </c>
      <c r="F145" s="88" t="s">
        <v>242</v>
      </c>
      <c r="G145" s="142">
        <v>6.415</v>
      </c>
      <c r="H145" s="142"/>
      <c r="I145" s="142">
        <v>6.415</v>
      </c>
      <c r="J145" s="92"/>
      <c r="K145" s="94">
        <v>6.8336100000000002</v>
      </c>
      <c r="L145" s="94">
        <v>99.929569999999998</v>
      </c>
      <c r="M145" s="94">
        <v>6.8815299999999997</v>
      </c>
      <c r="N145" s="94">
        <v>99.944519999999997</v>
      </c>
    </row>
    <row r="146" spans="1:14" s="24" customFormat="1">
      <c r="A146" s="88">
        <f t="shared" si="3"/>
        <v>8</v>
      </c>
      <c r="B146" s="88" t="s">
        <v>1145</v>
      </c>
      <c r="C146" s="90" t="s">
        <v>1524</v>
      </c>
      <c r="D146" s="90" t="s">
        <v>1146</v>
      </c>
      <c r="E146" s="88" t="s">
        <v>1132</v>
      </c>
      <c r="F146" s="88" t="s">
        <v>242</v>
      </c>
      <c r="G146" s="92">
        <v>26.25</v>
      </c>
      <c r="H146" s="142">
        <v>4.91</v>
      </c>
      <c r="I146" s="142">
        <v>21.34</v>
      </c>
      <c r="J146" s="142"/>
      <c r="K146" s="94">
        <v>6.8819499999999998</v>
      </c>
      <c r="L146" s="94">
        <v>99.940910000000002</v>
      </c>
      <c r="M146" s="94">
        <v>7.08263</v>
      </c>
      <c r="N146" s="94">
        <v>99.949479999999994</v>
      </c>
    </row>
    <row r="147" spans="1:14" s="24" customFormat="1">
      <c r="A147" s="88">
        <f t="shared" si="3"/>
        <v>9</v>
      </c>
      <c r="B147" s="88" t="s">
        <v>1147</v>
      </c>
      <c r="C147" s="90" t="s">
        <v>1525</v>
      </c>
      <c r="D147" s="90" t="s">
        <v>1148</v>
      </c>
      <c r="E147" s="103" t="s">
        <v>1149</v>
      </c>
      <c r="F147" s="88" t="s">
        <v>242</v>
      </c>
      <c r="G147" s="92">
        <v>35.840000000000003</v>
      </c>
      <c r="H147" s="142">
        <v>1.03</v>
      </c>
      <c r="I147" s="142">
        <v>33.603999999999999</v>
      </c>
      <c r="J147" s="142">
        <v>1.206</v>
      </c>
      <c r="K147" s="94">
        <v>7.0735599999999996</v>
      </c>
      <c r="L147" s="94">
        <v>99.781989999999993</v>
      </c>
      <c r="M147" s="94">
        <v>7.1593200000000001</v>
      </c>
      <c r="N147" s="94">
        <v>99.943879999999993</v>
      </c>
    </row>
    <row r="148" spans="1:14" s="24" customFormat="1">
      <c r="A148" s="88">
        <f t="shared" si="3"/>
        <v>10</v>
      </c>
      <c r="B148" s="88" t="s">
        <v>1150</v>
      </c>
      <c r="C148" s="90" t="s">
        <v>1526</v>
      </c>
      <c r="D148" s="90" t="s">
        <v>1151</v>
      </c>
      <c r="E148" s="88" t="s">
        <v>1152</v>
      </c>
      <c r="F148" s="88" t="s">
        <v>242</v>
      </c>
      <c r="G148" s="92">
        <v>13.25</v>
      </c>
      <c r="H148" s="92"/>
      <c r="I148" s="92">
        <v>13.25</v>
      </c>
      <c r="J148" s="92"/>
      <c r="K148" s="94">
        <v>6.7569100000000004</v>
      </c>
      <c r="L148" s="94">
        <v>100.02124999999999</v>
      </c>
      <c r="M148" s="94">
        <v>6.8576699999999997</v>
      </c>
      <c r="N148" s="94">
        <v>100.03605</v>
      </c>
    </row>
    <row r="149" spans="1:14" s="24" customFormat="1">
      <c r="A149" s="88">
        <f t="shared" si="3"/>
        <v>11</v>
      </c>
      <c r="B149" s="88" t="s">
        <v>1153</v>
      </c>
      <c r="C149" s="90" t="s">
        <v>1527</v>
      </c>
      <c r="D149" s="90" t="s">
        <v>1154</v>
      </c>
      <c r="E149" s="88" t="s">
        <v>1155</v>
      </c>
      <c r="F149" s="88" t="s">
        <v>242</v>
      </c>
      <c r="G149" s="142">
        <v>14.02</v>
      </c>
      <c r="H149" s="142"/>
      <c r="I149" s="142">
        <v>14.02</v>
      </c>
      <c r="J149" s="92"/>
      <c r="K149" s="94">
        <v>6.8616000000000001</v>
      </c>
      <c r="L149" s="94">
        <v>100.00754000000001</v>
      </c>
      <c r="M149" s="94">
        <v>6.7934799999999997</v>
      </c>
      <c r="N149" s="94">
        <v>100.07246000000001</v>
      </c>
    </row>
    <row r="150" spans="1:14" s="24" customFormat="1">
      <c r="A150" s="88">
        <f t="shared" si="3"/>
        <v>12</v>
      </c>
      <c r="B150" s="88" t="s">
        <v>1156</v>
      </c>
      <c r="C150" s="90" t="s">
        <v>1528</v>
      </c>
      <c r="D150" s="90" t="s">
        <v>1157</v>
      </c>
      <c r="E150" s="88" t="s">
        <v>1158</v>
      </c>
      <c r="F150" s="88" t="s">
        <v>242</v>
      </c>
      <c r="G150" s="142">
        <v>40.090000000000003</v>
      </c>
      <c r="H150" s="142">
        <v>1.7</v>
      </c>
      <c r="I150" s="142">
        <v>38.39</v>
      </c>
      <c r="J150" s="92"/>
      <c r="K150" s="94">
        <v>6.8647099999999996</v>
      </c>
      <c r="L150" s="94">
        <v>99.862899999999996</v>
      </c>
      <c r="M150" s="94">
        <v>7.1074099999999998</v>
      </c>
      <c r="N150" s="94">
        <v>99.940460000000002</v>
      </c>
    </row>
    <row r="151" spans="1:14" s="24" customFormat="1">
      <c r="A151" s="88">
        <f t="shared" si="3"/>
        <v>13</v>
      </c>
      <c r="B151" s="88" t="s">
        <v>1159</v>
      </c>
      <c r="C151" s="90" t="s">
        <v>1529</v>
      </c>
      <c r="D151" s="90" t="s">
        <v>1160</v>
      </c>
      <c r="E151" s="88" t="s">
        <v>769</v>
      </c>
      <c r="F151" s="88" t="s">
        <v>242</v>
      </c>
      <c r="G151" s="92">
        <v>11.183999999999999</v>
      </c>
      <c r="H151" s="92"/>
      <c r="I151" s="92">
        <v>11.183999999999999</v>
      </c>
      <c r="J151" s="92"/>
      <c r="K151" s="94">
        <v>6.75671</v>
      </c>
      <c r="L151" s="94">
        <v>100.02113</v>
      </c>
      <c r="M151" s="94">
        <v>6.6974400000000003</v>
      </c>
      <c r="N151" s="94">
        <v>100.05318</v>
      </c>
    </row>
    <row r="152" spans="1:14" s="24" customFormat="1">
      <c r="A152" s="88">
        <f t="shared" si="3"/>
        <v>14</v>
      </c>
      <c r="B152" s="88" t="s">
        <v>1161</v>
      </c>
      <c r="C152" s="90" t="s">
        <v>1530</v>
      </c>
      <c r="D152" s="90" t="s">
        <v>1162</v>
      </c>
      <c r="E152" s="88" t="s">
        <v>1163</v>
      </c>
      <c r="F152" s="88" t="s">
        <v>242</v>
      </c>
      <c r="G152" s="92">
        <v>13.006</v>
      </c>
      <c r="H152" s="92"/>
      <c r="I152" s="92">
        <v>12.256</v>
      </c>
      <c r="J152" s="92">
        <v>0.75</v>
      </c>
      <c r="K152" s="94">
        <v>6.6537899999999999</v>
      </c>
      <c r="L152" s="94">
        <v>100.07628</v>
      </c>
      <c r="M152" s="94">
        <v>6.7405799999999996</v>
      </c>
      <c r="N152" s="94">
        <v>100.09078</v>
      </c>
    </row>
    <row r="153" spans="1:14" s="24" customFormat="1">
      <c r="A153" s="88">
        <f t="shared" si="3"/>
        <v>15</v>
      </c>
      <c r="B153" s="95" t="s">
        <v>1164</v>
      </c>
      <c r="C153" s="144" t="s">
        <v>1531</v>
      </c>
      <c r="D153" s="97" t="s">
        <v>1165</v>
      </c>
      <c r="E153" s="95" t="s">
        <v>1166</v>
      </c>
      <c r="F153" s="95" t="s">
        <v>242</v>
      </c>
      <c r="G153" s="98">
        <v>10.25</v>
      </c>
      <c r="H153" s="98"/>
      <c r="I153" s="98">
        <v>10.25</v>
      </c>
      <c r="J153" s="98"/>
      <c r="K153" s="99">
        <v>6.9256099999999998</v>
      </c>
      <c r="L153" s="99">
        <v>99.843649999999997</v>
      </c>
      <c r="M153" s="99">
        <v>6.9064699999999997</v>
      </c>
      <c r="N153" s="99">
        <v>99.87809</v>
      </c>
    </row>
    <row r="154" spans="1:14" s="24" customFormat="1">
      <c r="A154" s="88">
        <f t="shared" si="3"/>
        <v>16</v>
      </c>
      <c r="B154" s="88" t="s">
        <v>1167</v>
      </c>
      <c r="C154" s="90" t="s">
        <v>1532</v>
      </c>
      <c r="D154" s="90" t="s">
        <v>1168</v>
      </c>
      <c r="E154" s="88" t="s">
        <v>1169</v>
      </c>
      <c r="F154" s="88" t="s">
        <v>242</v>
      </c>
      <c r="G154" s="142">
        <v>18.986999999999998</v>
      </c>
      <c r="H154" s="142"/>
      <c r="I154" s="142">
        <v>18.986999999999998</v>
      </c>
      <c r="J154" s="92"/>
      <c r="K154" s="94">
        <v>6.9860800000000003</v>
      </c>
      <c r="L154" s="94">
        <v>99.762439999999998</v>
      </c>
      <c r="M154" s="94">
        <v>6.9655800000000001</v>
      </c>
      <c r="N154" s="94">
        <v>99.687700000000007</v>
      </c>
    </row>
    <row r="155" spans="1:14" s="24" customFormat="1">
      <c r="A155" s="88">
        <f t="shared" si="3"/>
        <v>17</v>
      </c>
      <c r="B155" s="88" t="s">
        <v>1170</v>
      </c>
      <c r="C155" s="90" t="s">
        <v>1533</v>
      </c>
      <c r="D155" s="90" t="s">
        <v>1171</v>
      </c>
      <c r="E155" s="88" t="s">
        <v>769</v>
      </c>
      <c r="F155" s="88" t="s">
        <v>242</v>
      </c>
      <c r="G155" s="92">
        <v>8.9</v>
      </c>
      <c r="H155" s="92"/>
      <c r="I155" s="92">
        <v>8.9</v>
      </c>
      <c r="J155" s="92"/>
      <c r="K155" s="94">
        <v>6.70444</v>
      </c>
      <c r="L155" s="94">
        <v>100.06625</v>
      </c>
      <c r="M155" s="94">
        <v>6.69156</v>
      </c>
      <c r="N155" s="94">
        <v>99.998440000000002</v>
      </c>
    </row>
    <row r="156" spans="1:14" s="24" customFormat="1">
      <c r="A156" s="88">
        <f t="shared" si="3"/>
        <v>18</v>
      </c>
      <c r="B156" s="88" t="s">
        <v>1172</v>
      </c>
      <c r="C156" s="90" t="s">
        <v>1534</v>
      </c>
      <c r="D156" s="90" t="s">
        <v>1129</v>
      </c>
      <c r="E156" s="88" t="s">
        <v>1129</v>
      </c>
      <c r="F156" s="88" t="s">
        <v>242</v>
      </c>
      <c r="G156" s="142">
        <v>13.282999999999999</v>
      </c>
      <c r="H156" s="142"/>
      <c r="I156" s="142">
        <v>13.282999999999999</v>
      </c>
      <c r="J156" s="92"/>
      <c r="K156" s="94">
        <v>6.86829</v>
      </c>
      <c r="L156" s="94">
        <v>99.781080000000003</v>
      </c>
      <c r="M156" s="94">
        <v>6.7917199999999998</v>
      </c>
      <c r="N156" s="94">
        <v>99.814779999999999</v>
      </c>
    </row>
    <row r="157" spans="1:14" s="24" customFormat="1">
      <c r="A157" s="88">
        <f t="shared" si="3"/>
        <v>19</v>
      </c>
      <c r="B157" s="88" t="s">
        <v>1173</v>
      </c>
      <c r="C157" s="90" t="s">
        <v>1535</v>
      </c>
      <c r="D157" s="90" t="s">
        <v>1174</v>
      </c>
      <c r="E157" s="88" t="s">
        <v>1174</v>
      </c>
      <c r="F157" s="88" t="s">
        <v>242</v>
      </c>
      <c r="G157" s="142">
        <v>13.3</v>
      </c>
      <c r="H157" s="142">
        <v>5.4980000000000002</v>
      </c>
      <c r="I157" s="142">
        <v>7.8019999999999996</v>
      </c>
      <c r="J157" s="92"/>
      <c r="K157" s="94">
        <v>7.09497</v>
      </c>
      <c r="L157" s="94">
        <v>99.803449999999998</v>
      </c>
      <c r="M157" s="94">
        <v>7.1427300000000002</v>
      </c>
      <c r="N157" s="94">
        <v>99.853719999999996</v>
      </c>
    </row>
    <row r="158" spans="1:14" s="24" customFormat="1">
      <c r="A158" s="88">
        <f t="shared" si="3"/>
        <v>20</v>
      </c>
      <c r="B158" s="88" t="s">
        <v>1175</v>
      </c>
      <c r="C158" s="90" t="s">
        <v>1536</v>
      </c>
      <c r="D158" s="90" t="s">
        <v>1176</v>
      </c>
      <c r="E158" s="103" t="s">
        <v>1177</v>
      </c>
      <c r="F158" s="88" t="s">
        <v>242</v>
      </c>
      <c r="G158" s="142">
        <v>25.774999999999999</v>
      </c>
      <c r="H158" s="142">
        <v>6.4749999999999996</v>
      </c>
      <c r="I158" s="142">
        <v>19.3</v>
      </c>
      <c r="J158" s="92"/>
      <c r="K158" s="94">
        <v>6.8634899999999996</v>
      </c>
      <c r="L158" s="94">
        <v>99.866460000000004</v>
      </c>
      <c r="M158" s="94">
        <v>6.9880800000000001</v>
      </c>
      <c r="N158" s="94">
        <v>99.936409999999995</v>
      </c>
    </row>
    <row r="159" spans="1:14" s="24" customFormat="1">
      <c r="A159" s="88">
        <f t="shared" si="3"/>
        <v>21</v>
      </c>
      <c r="B159" s="88" t="s">
        <v>1178</v>
      </c>
      <c r="C159" s="143" t="s">
        <v>1537</v>
      </c>
      <c r="D159" s="90" t="s">
        <v>1179</v>
      </c>
      <c r="E159" s="88" t="s">
        <v>1180</v>
      </c>
      <c r="F159" s="88" t="s">
        <v>242</v>
      </c>
      <c r="G159" s="92">
        <v>22.27</v>
      </c>
      <c r="H159" s="92"/>
      <c r="I159" s="92">
        <v>22.27</v>
      </c>
      <c r="J159" s="92"/>
      <c r="K159" s="94">
        <v>6.9998300000000002</v>
      </c>
      <c r="L159" s="94">
        <v>99.848299999999995</v>
      </c>
      <c r="M159" s="94">
        <v>7.0078699999999996</v>
      </c>
      <c r="N159" s="94">
        <v>100.01891000000001</v>
      </c>
    </row>
    <row r="160" spans="1:14" s="24" customFormat="1">
      <c r="A160" s="88">
        <f t="shared" si="3"/>
        <v>22</v>
      </c>
      <c r="B160" s="88" t="s">
        <v>1181</v>
      </c>
      <c r="C160" s="90" t="s">
        <v>1538</v>
      </c>
      <c r="D160" s="90" t="s">
        <v>1182</v>
      </c>
      <c r="E160" s="88" t="s">
        <v>1144</v>
      </c>
      <c r="F160" s="88" t="s">
        <v>242</v>
      </c>
      <c r="G160" s="92">
        <v>10.166</v>
      </c>
      <c r="H160" s="92"/>
      <c r="I160" s="92">
        <v>10.166</v>
      </c>
      <c r="J160" s="92"/>
      <c r="K160" s="94">
        <v>6.7941700000000003</v>
      </c>
      <c r="L160" s="94">
        <v>99.959360000000004</v>
      </c>
      <c r="M160" s="94">
        <v>6.8624000000000001</v>
      </c>
      <c r="N160" s="94">
        <v>99.998639999999995</v>
      </c>
    </row>
    <row r="161" spans="1:14" s="24" customFormat="1">
      <c r="A161" s="88">
        <f t="shared" si="3"/>
        <v>23</v>
      </c>
      <c r="B161" s="88" t="s">
        <v>1183</v>
      </c>
      <c r="C161" s="90" t="s">
        <v>1539</v>
      </c>
      <c r="D161" s="90" t="s">
        <v>1184</v>
      </c>
      <c r="E161" s="88" t="s">
        <v>1185</v>
      </c>
      <c r="F161" s="88" t="s">
        <v>242</v>
      </c>
      <c r="G161" s="92">
        <v>12.3</v>
      </c>
      <c r="H161" s="92"/>
      <c r="I161" s="92">
        <v>12.3</v>
      </c>
      <c r="J161" s="92"/>
      <c r="K161" s="94">
        <v>6.9733099999999997</v>
      </c>
      <c r="L161" s="94">
        <v>99.768140000000002</v>
      </c>
      <c r="M161" s="94">
        <v>7.0556599999999996</v>
      </c>
      <c r="N161" s="94">
        <v>99.800430000000006</v>
      </c>
    </row>
    <row r="162" spans="1:14" s="24" customFormat="1">
      <c r="A162" s="88">
        <f t="shared" si="3"/>
        <v>24</v>
      </c>
      <c r="B162" s="88" t="s">
        <v>1186</v>
      </c>
      <c r="C162" s="90" t="s">
        <v>1187</v>
      </c>
      <c r="D162" s="90" t="s">
        <v>1188</v>
      </c>
      <c r="E162" s="88" t="s">
        <v>1129</v>
      </c>
      <c r="F162" s="88" t="s">
        <v>242</v>
      </c>
      <c r="G162" s="142">
        <v>12.35</v>
      </c>
      <c r="H162" s="142"/>
      <c r="I162" s="142">
        <v>12.35</v>
      </c>
      <c r="J162" s="92"/>
      <c r="K162" s="94">
        <v>6.8823600000000003</v>
      </c>
      <c r="L162" s="94">
        <v>99.779120000000006</v>
      </c>
      <c r="M162" s="94">
        <v>6.8968400000000001</v>
      </c>
      <c r="N162" s="94">
        <v>99.690129999999996</v>
      </c>
    </row>
    <row r="163" spans="1:14" s="24" customFormat="1">
      <c r="A163" s="88">
        <f t="shared" si="3"/>
        <v>25</v>
      </c>
      <c r="B163" s="88" t="s">
        <v>1189</v>
      </c>
      <c r="C163" s="90" t="s">
        <v>1190</v>
      </c>
      <c r="D163" s="90" t="s">
        <v>1188</v>
      </c>
      <c r="E163" s="88" t="s">
        <v>1129</v>
      </c>
      <c r="F163" s="88" t="s">
        <v>242</v>
      </c>
      <c r="G163" s="142">
        <v>10.5</v>
      </c>
      <c r="H163" s="142"/>
      <c r="I163" s="142">
        <v>10.5</v>
      </c>
      <c r="J163" s="92"/>
      <c r="K163" s="94">
        <v>6.8715099999999998</v>
      </c>
      <c r="L163" s="94">
        <v>99.762389999999996</v>
      </c>
      <c r="M163" s="94">
        <v>6.9545399999999997</v>
      </c>
      <c r="N163" s="94">
        <v>99.696349999999995</v>
      </c>
    </row>
    <row r="164" spans="1:14" s="24" customFormat="1">
      <c r="A164" s="88">
        <f t="shared" si="3"/>
        <v>26</v>
      </c>
      <c r="B164" s="88" t="s">
        <v>1191</v>
      </c>
      <c r="C164" s="143" t="s">
        <v>1540</v>
      </c>
      <c r="D164" s="90" t="s">
        <v>1192</v>
      </c>
      <c r="E164" s="88" t="s">
        <v>769</v>
      </c>
      <c r="F164" s="88" t="s">
        <v>242</v>
      </c>
      <c r="G164" s="92">
        <v>9.8000000000000007</v>
      </c>
      <c r="H164" s="92"/>
      <c r="I164" s="92">
        <v>9.8000000000000007</v>
      </c>
      <c r="J164" s="92"/>
      <c r="K164" s="94">
        <v>6.7396099999999999</v>
      </c>
      <c r="L164" s="94">
        <v>99.984470000000002</v>
      </c>
      <c r="M164" s="94">
        <v>6.6951599999999996</v>
      </c>
      <c r="N164" s="94">
        <v>99.941220000000001</v>
      </c>
    </row>
    <row r="165" spans="1:14" s="24" customFormat="1">
      <c r="A165" s="88">
        <f t="shared" si="3"/>
        <v>27</v>
      </c>
      <c r="B165" s="88" t="s">
        <v>1193</v>
      </c>
      <c r="C165" s="90" t="s">
        <v>1541</v>
      </c>
      <c r="D165" s="90" t="s">
        <v>706</v>
      </c>
      <c r="E165" s="88" t="s">
        <v>1194</v>
      </c>
      <c r="F165" s="88" t="s">
        <v>242</v>
      </c>
      <c r="G165" s="142">
        <v>8.1750000000000007</v>
      </c>
      <c r="H165" s="142"/>
      <c r="I165" s="142">
        <v>8.1750000000000007</v>
      </c>
      <c r="J165" s="92"/>
      <c r="K165" s="94">
        <v>6.8856400000000004</v>
      </c>
      <c r="L165" s="94">
        <v>99.81456</v>
      </c>
      <c r="M165" s="94">
        <v>6.9253299999999998</v>
      </c>
      <c r="N165" s="94">
        <v>99.843630000000005</v>
      </c>
    </row>
    <row r="166" spans="1:14" s="24" customFormat="1">
      <c r="A166" s="88">
        <f t="shared" si="3"/>
        <v>28</v>
      </c>
      <c r="B166" s="88" t="s">
        <v>1195</v>
      </c>
      <c r="C166" s="90" t="s">
        <v>1542</v>
      </c>
      <c r="D166" s="90" t="s">
        <v>1131</v>
      </c>
      <c r="E166" s="88" t="s">
        <v>1132</v>
      </c>
      <c r="F166" s="88" t="s">
        <v>242</v>
      </c>
      <c r="G166" s="142">
        <v>8.4</v>
      </c>
      <c r="H166" s="142">
        <v>4.75</v>
      </c>
      <c r="I166" s="142">
        <v>3.65</v>
      </c>
      <c r="J166" s="92"/>
      <c r="K166" s="94">
        <v>6.8365799999999997</v>
      </c>
      <c r="L166" s="94">
        <v>99.985839999999996</v>
      </c>
      <c r="M166" s="94">
        <v>7.00542</v>
      </c>
      <c r="N166" s="94">
        <v>99.975560000000002</v>
      </c>
    </row>
    <row r="167" spans="1:14" s="24" customFormat="1">
      <c r="A167" s="88">
        <f t="shared" si="3"/>
        <v>29</v>
      </c>
      <c r="B167" s="88" t="s">
        <v>1196</v>
      </c>
      <c r="C167" s="90" t="s">
        <v>1543</v>
      </c>
      <c r="D167" s="90" t="s">
        <v>706</v>
      </c>
      <c r="E167" s="88" t="s">
        <v>1174</v>
      </c>
      <c r="F167" s="88" t="s">
        <v>242</v>
      </c>
      <c r="G167" s="142">
        <v>17.440999999999999</v>
      </c>
      <c r="H167" s="142"/>
      <c r="I167" s="142">
        <v>17.440999999999999</v>
      </c>
      <c r="J167" s="92"/>
      <c r="K167" s="94">
        <v>7.07125</v>
      </c>
      <c r="L167" s="94">
        <v>99.751540000000006</v>
      </c>
      <c r="M167" s="94">
        <v>7.01546</v>
      </c>
      <c r="N167" s="94">
        <v>99.689419999999998</v>
      </c>
    </row>
    <row r="168" spans="1:14" s="24" customFormat="1">
      <c r="A168" s="88">
        <f t="shared" si="3"/>
        <v>30</v>
      </c>
      <c r="B168" s="95" t="s">
        <v>1197</v>
      </c>
      <c r="C168" s="97" t="s">
        <v>1544</v>
      </c>
      <c r="D168" s="97"/>
      <c r="E168" s="95" t="s">
        <v>1198</v>
      </c>
      <c r="F168" s="95" t="s">
        <v>242</v>
      </c>
      <c r="G168" s="98">
        <v>8.1750000000000007</v>
      </c>
      <c r="H168" s="98"/>
      <c r="I168" s="98">
        <v>8.1750000000000007</v>
      </c>
      <c r="J168" s="98"/>
      <c r="K168" s="99">
        <v>6.7931400000000002</v>
      </c>
      <c r="L168" s="99">
        <v>99.960849999999994</v>
      </c>
      <c r="M168" s="99">
        <v>6.7392599999999998</v>
      </c>
      <c r="N168" s="99">
        <v>99.9208</v>
      </c>
    </row>
    <row r="169" spans="1:14" s="24" customFormat="1">
      <c r="A169" s="88">
        <f t="shared" si="3"/>
        <v>31</v>
      </c>
      <c r="B169" s="87" t="s">
        <v>1199</v>
      </c>
      <c r="C169" s="89" t="s">
        <v>1545</v>
      </c>
      <c r="D169" s="89"/>
      <c r="E169" s="87" t="s">
        <v>1200</v>
      </c>
      <c r="F169" s="87" t="s">
        <v>242</v>
      </c>
      <c r="G169" s="145">
        <v>18.399999999999999</v>
      </c>
      <c r="H169" s="145"/>
      <c r="I169" s="145">
        <v>18.399999999999999</v>
      </c>
      <c r="J169" s="145"/>
      <c r="K169" s="93">
        <v>6.8606499999999997</v>
      </c>
      <c r="L169" s="93">
        <v>99.874430000000004</v>
      </c>
      <c r="M169" s="93">
        <v>6.7406699999999997</v>
      </c>
      <c r="N169" s="93">
        <v>99.896529999999998</v>
      </c>
    </row>
    <row r="170" spans="1:14" s="24" customFormat="1">
      <c r="A170" s="88">
        <f t="shared" si="3"/>
        <v>32</v>
      </c>
      <c r="B170" s="88" t="s">
        <v>1201</v>
      </c>
      <c r="C170" s="90" t="s">
        <v>1546</v>
      </c>
      <c r="D170" s="90"/>
      <c r="E170" s="88" t="s">
        <v>769</v>
      </c>
      <c r="F170" s="88" t="s">
        <v>242</v>
      </c>
      <c r="G170" s="142">
        <v>16.878</v>
      </c>
      <c r="H170" s="107"/>
      <c r="I170" s="107">
        <v>16.878</v>
      </c>
      <c r="J170" s="107"/>
      <c r="K170" s="119">
        <v>6.6643400000000002</v>
      </c>
      <c r="L170" s="119">
        <v>100.0149</v>
      </c>
      <c r="M170" s="119">
        <v>6.6189450000000001</v>
      </c>
      <c r="N170" s="119">
        <v>99.954160000000002</v>
      </c>
    </row>
    <row r="171" spans="1:14" s="24" customFormat="1">
      <c r="A171" s="88">
        <f t="shared" si="3"/>
        <v>33</v>
      </c>
      <c r="B171" s="103" t="s">
        <v>1202</v>
      </c>
      <c r="C171" s="143" t="s">
        <v>1547</v>
      </c>
      <c r="D171" s="143"/>
      <c r="E171" s="103" t="s">
        <v>1132</v>
      </c>
      <c r="F171" s="103" t="s">
        <v>242</v>
      </c>
      <c r="G171" s="142">
        <v>13.276999999999999</v>
      </c>
      <c r="H171" s="142"/>
      <c r="I171" s="142">
        <v>13.276999999999999</v>
      </c>
      <c r="J171" s="142"/>
      <c r="K171" s="146">
        <v>6.9320700000000004</v>
      </c>
      <c r="L171" s="146">
        <v>100.02499</v>
      </c>
      <c r="M171" s="146">
        <v>6.9411199999999997</v>
      </c>
      <c r="N171" s="146">
        <v>99.934780000000003</v>
      </c>
    </row>
    <row r="172" spans="1:14" s="24" customFormat="1">
      <c r="A172" s="88">
        <f t="shared" si="3"/>
        <v>34</v>
      </c>
      <c r="B172" s="103" t="s">
        <v>1203</v>
      </c>
      <c r="C172" s="143" t="s">
        <v>1548</v>
      </c>
      <c r="D172" s="143"/>
      <c r="E172" s="103" t="s">
        <v>1132</v>
      </c>
      <c r="F172" s="103" t="s">
        <v>242</v>
      </c>
      <c r="G172" s="142">
        <v>12.4</v>
      </c>
      <c r="H172" s="142">
        <v>10.199999999999999</v>
      </c>
      <c r="I172" s="142">
        <v>2.2000000000000002</v>
      </c>
      <c r="J172" s="142"/>
      <c r="K172" s="146">
        <v>6.9318200000000001</v>
      </c>
      <c r="L172" s="146">
        <v>99.997169999999997</v>
      </c>
      <c r="M172" s="146">
        <v>7.0054299999999996</v>
      </c>
      <c r="N172" s="146">
        <v>99.975560000000002</v>
      </c>
    </row>
    <row r="173" spans="1:14" s="24" customFormat="1">
      <c r="A173" s="88">
        <f t="shared" si="3"/>
        <v>35</v>
      </c>
      <c r="B173" s="103" t="s">
        <v>1204</v>
      </c>
      <c r="C173" s="143" t="s">
        <v>1549</v>
      </c>
      <c r="D173" s="143"/>
      <c r="E173" s="103" t="s">
        <v>1194</v>
      </c>
      <c r="F173" s="103" t="s">
        <v>242</v>
      </c>
      <c r="G173" s="142">
        <v>17.399999999999999</v>
      </c>
      <c r="H173" s="107">
        <v>9.0950000000000006</v>
      </c>
      <c r="I173" s="107">
        <v>7.93</v>
      </c>
      <c r="J173" s="107">
        <v>0.375</v>
      </c>
      <c r="K173" s="109">
        <v>6.9422100000000002</v>
      </c>
      <c r="L173" s="109">
        <v>99.838489999999993</v>
      </c>
      <c r="M173" s="109">
        <v>6.9700199999999999</v>
      </c>
      <c r="N173" s="109">
        <v>99.981229999999996</v>
      </c>
    </row>
    <row r="174" spans="1:14" s="110" customFormat="1">
      <c r="A174" s="88">
        <f t="shared" si="3"/>
        <v>36</v>
      </c>
      <c r="B174" s="103"/>
      <c r="C174" s="104"/>
      <c r="D174" s="104"/>
      <c r="E174" s="105"/>
      <c r="F174" s="103"/>
      <c r="G174" s="106"/>
      <c r="H174" s="107"/>
      <c r="I174" s="108"/>
      <c r="J174" s="107"/>
      <c r="K174" s="109"/>
      <c r="L174" s="109"/>
      <c r="M174" s="109"/>
      <c r="N174" s="109"/>
    </row>
    <row r="175" spans="1:14" s="111" customFormat="1">
      <c r="A175" s="88">
        <f t="shared" si="3"/>
        <v>37</v>
      </c>
      <c r="B175" s="103"/>
      <c r="C175" s="104"/>
      <c r="D175" s="104"/>
      <c r="E175" s="105"/>
      <c r="F175" s="103"/>
      <c r="G175" s="106"/>
      <c r="H175" s="107"/>
      <c r="I175" s="108"/>
      <c r="J175" s="107"/>
      <c r="K175" s="109"/>
      <c r="L175" s="109"/>
      <c r="M175" s="109"/>
      <c r="N175" s="109"/>
    </row>
    <row r="176" spans="1:14" s="111" customFormat="1">
      <c r="A176" s="88">
        <f t="shared" si="3"/>
        <v>38</v>
      </c>
      <c r="B176" s="103"/>
      <c r="C176" s="104"/>
      <c r="D176" s="104"/>
      <c r="E176" s="105"/>
      <c r="F176" s="103"/>
      <c r="G176" s="106"/>
      <c r="H176" s="107"/>
      <c r="I176" s="108"/>
      <c r="J176" s="107"/>
      <c r="K176" s="109"/>
      <c r="L176" s="109"/>
      <c r="M176" s="109"/>
      <c r="N176" s="109"/>
    </row>
    <row r="177" spans="1:14" s="111" customFormat="1">
      <c r="A177" s="88">
        <f t="shared" si="3"/>
        <v>39</v>
      </c>
      <c r="B177" s="103"/>
      <c r="C177" s="104"/>
      <c r="D177" s="104"/>
      <c r="E177" s="105"/>
      <c r="F177" s="103"/>
      <c r="G177" s="106"/>
      <c r="H177" s="107"/>
      <c r="I177" s="108"/>
      <c r="J177" s="107"/>
      <c r="K177" s="109"/>
      <c r="L177" s="109"/>
      <c r="M177" s="109"/>
      <c r="N177" s="109"/>
    </row>
    <row r="178" spans="1:14" s="111" customFormat="1">
      <c r="A178" s="88">
        <f t="shared" si="3"/>
        <v>40</v>
      </c>
      <c r="B178" s="103"/>
      <c r="C178" s="104"/>
      <c r="D178" s="104"/>
      <c r="E178" s="105"/>
      <c r="F178" s="103"/>
      <c r="G178" s="106"/>
      <c r="H178" s="107"/>
      <c r="I178" s="108"/>
      <c r="J178" s="107"/>
      <c r="K178" s="109"/>
      <c r="L178" s="109"/>
      <c r="M178" s="109"/>
      <c r="N178" s="109"/>
    </row>
    <row r="179" spans="1:14" s="111" customFormat="1">
      <c r="A179" s="88">
        <f t="shared" si="3"/>
        <v>41</v>
      </c>
      <c r="B179" s="103"/>
      <c r="C179" s="104"/>
      <c r="D179" s="104"/>
      <c r="E179" s="105"/>
      <c r="F179" s="103"/>
      <c r="G179" s="106"/>
      <c r="H179" s="107"/>
      <c r="I179" s="108"/>
      <c r="J179" s="107"/>
      <c r="K179" s="109"/>
      <c r="L179" s="109"/>
      <c r="M179" s="109"/>
      <c r="N179" s="109"/>
    </row>
    <row r="180" spans="1:14" s="111" customFormat="1">
      <c r="A180" s="88">
        <f t="shared" si="3"/>
        <v>42</v>
      </c>
      <c r="B180" s="103"/>
      <c r="C180" s="104"/>
      <c r="D180" s="104"/>
      <c r="E180" s="105"/>
      <c r="F180" s="103"/>
      <c r="G180" s="106"/>
      <c r="H180" s="107"/>
      <c r="I180" s="108"/>
      <c r="J180" s="107"/>
      <c r="K180" s="109"/>
      <c r="L180" s="109"/>
      <c r="M180" s="109"/>
      <c r="N180" s="109"/>
    </row>
    <row r="181" spans="1:14" s="111" customFormat="1">
      <c r="A181" s="88">
        <f t="shared" si="3"/>
        <v>43</v>
      </c>
      <c r="B181" s="103"/>
      <c r="C181" s="104"/>
      <c r="D181" s="104"/>
      <c r="E181" s="105"/>
      <c r="F181" s="103"/>
      <c r="G181" s="106"/>
      <c r="H181" s="107"/>
      <c r="I181" s="108"/>
      <c r="J181" s="107"/>
      <c r="K181" s="109"/>
      <c r="L181" s="109"/>
      <c r="M181" s="109"/>
      <c r="N181" s="109"/>
    </row>
    <row r="182" spans="1:14" s="111" customFormat="1">
      <c r="A182" s="88">
        <f t="shared" si="3"/>
        <v>44</v>
      </c>
      <c r="B182" s="103"/>
      <c r="C182" s="104"/>
      <c r="D182" s="104"/>
      <c r="E182" s="105"/>
      <c r="F182" s="103"/>
      <c r="G182" s="106"/>
      <c r="H182" s="107"/>
      <c r="I182" s="108"/>
      <c r="J182" s="107"/>
      <c r="K182" s="109"/>
      <c r="L182" s="109"/>
      <c r="M182" s="109"/>
      <c r="N182" s="109"/>
    </row>
    <row r="183" spans="1:14" s="111" customFormat="1">
      <c r="A183" s="88">
        <f t="shared" si="3"/>
        <v>45</v>
      </c>
      <c r="B183" s="103"/>
      <c r="C183" s="104"/>
      <c r="D183" s="104"/>
      <c r="E183" s="105"/>
      <c r="F183" s="103"/>
      <c r="G183" s="106"/>
      <c r="H183" s="107"/>
      <c r="I183" s="108"/>
      <c r="J183" s="107"/>
      <c r="K183" s="109"/>
      <c r="L183" s="109"/>
      <c r="M183" s="109"/>
      <c r="N183" s="109"/>
    </row>
    <row r="184" spans="1:14" s="111" customFormat="1">
      <c r="A184" s="88">
        <f t="shared" si="3"/>
        <v>46</v>
      </c>
      <c r="B184" s="103"/>
      <c r="C184" s="104"/>
      <c r="D184" s="104"/>
      <c r="E184" s="105"/>
      <c r="F184" s="103"/>
      <c r="G184" s="106"/>
      <c r="H184" s="107"/>
      <c r="I184" s="108"/>
      <c r="J184" s="107"/>
      <c r="K184" s="109"/>
      <c r="L184" s="109"/>
      <c r="M184" s="109"/>
      <c r="N184" s="109"/>
    </row>
    <row r="185" spans="1:14" s="111" customFormat="1">
      <c r="A185" s="88">
        <f t="shared" si="3"/>
        <v>47</v>
      </c>
      <c r="B185" s="103"/>
      <c r="C185" s="104"/>
      <c r="D185" s="104"/>
      <c r="E185" s="105"/>
      <c r="F185" s="103"/>
      <c r="G185" s="106"/>
      <c r="H185" s="107"/>
      <c r="I185" s="108"/>
      <c r="J185" s="107"/>
      <c r="K185" s="109"/>
      <c r="L185" s="109"/>
      <c r="M185" s="109"/>
      <c r="N185" s="109"/>
    </row>
    <row r="186" spans="1:14" s="111" customFormat="1">
      <c r="A186" s="88">
        <f t="shared" si="3"/>
        <v>48</v>
      </c>
      <c r="B186" s="103"/>
      <c r="C186" s="104"/>
      <c r="D186" s="104"/>
      <c r="E186" s="105"/>
      <c r="F186" s="103"/>
      <c r="G186" s="106"/>
      <c r="H186" s="107"/>
      <c r="I186" s="108"/>
      <c r="J186" s="107"/>
      <c r="K186" s="109"/>
      <c r="L186" s="109"/>
      <c r="M186" s="109"/>
      <c r="N186" s="109"/>
    </row>
    <row r="187" spans="1:14" s="111" customFormat="1">
      <c r="A187" s="88">
        <f t="shared" si="3"/>
        <v>49</v>
      </c>
      <c r="B187" s="103"/>
      <c r="C187" s="104"/>
      <c r="D187" s="104"/>
      <c r="E187" s="105"/>
      <c r="F187" s="103"/>
      <c r="G187" s="106"/>
      <c r="H187" s="107"/>
      <c r="I187" s="108"/>
      <c r="J187" s="107"/>
      <c r="K187" s="109"/>
      <c r="L187" s="109"/>
      <c r="M187" s="109"/>
      <c r="N187" s="109"/>
    </row>
    <row r="188" spans="1:14" s="111" customFormat="1">
      <c r="A188" s="88">
        <f t="shared" si="3"/>
        <v>50</v>
      </c>
      <c r="B188" s="103"/>
      <c r="C188" s="104"/>
      <c r="D188" s="104"/>
      <c r="E188" s="105"/>
      <c r="F188" s="103"/>
      <c r="G188" s="106"/>
      <c r="H188" s="107"/>
      <c r="I188" s="108"/>
      <c r="J188" s="107"/>
      <c r="K188" s="109"/>
      <c r="L188" s="109"/>
      <c r="M188" s="109"/>
      <c r="N188" s="109"/>
    </row>
    <row r="189" spans="1:14" s="111" customFormat="1">
      <c r="A189" s="88">
        <f t="shared" si="3"/>
        <v>51</v>
      </c>
      <c r="B189" s="103"/>
      <c r="C189" s="104"/>
      <c r="D189" s="104"/>
      <c r="E189" s="105"/>
      <c r="F189" s="103"/>
      <c r="G189" s="106"/>
      <c r="H189" s="107"/>
      <c r="I189" s="108"/>
      <c r="J189" s="107"/>
      <c r="K189" s="109"/>
      <c r="L189" s="109"/>
      <c r="M189" s="109"/>
      <c r="N189" s="109"/>
    </row>
    <row r="190" spans="1:14" s="111" customFormat="1">
      <c r="A190" s="88">
        <f t="shared" si="3"/>
        <v>52</v>
      </c>
      <c r="B190" s="103"/>
      <c r="C190" s="104"/>
      <c r="D190" s="104"/>
      <c r="E190" s="105"/>
      <c r="F190" s="103"/>
      <c r="G190" s="106"/>
      <c r="H190" s="107"/>
      <c r="I190" s="108"/>
      <c r="J190" s="107"/>
      <c r="K190" s="109"/>
      <c r="L190" s="109"/>
      <c r="M190" s="109"/>
      <c r="N190" s="109"/>
    </row>
    <row r="191" spans="1:14" s="111" customFormat="1">
      <c r="A191" s="88">
        <f t="shared" si="3"/>
        <v>53</v>
      </c>
      <c r="B191" s="103"/>
      <c r="C191" s="104"/>
      <c r="D191" s="104"/>
      <c r="E191" s="105"/>
      <c r="F191" s="103"/>
      <c r="G191" s="106"/>
      <c r="H191" s="107"/>
      <c r="I191" s="108"/>
      <c r="J191" s="107"/>
      <c r="K191" s="109"/>
      <c r="L191" s="109"/>
      <c r="M191" s="109"/>
      <c r="N191" s="109"/>
    </row>
    <row r="192" spans="1:14" s="111" customFormat="1">
      <c r="A192" s="88">
        <f t="shared" si="3"/>
        <v>54</v>
      </c>
      <c r="B192" s="103"/>
      <c r="C192" s="104"/>
      <c r="D192" s="104"/>
      <c r="E192" s="105"/>
      <c r="F192" s="103"/>
      <c r="G192" s="106"/>
      <c r="H192" s="107"/>
      <c r="I192" s="108"/>
      <c r="J192" s="107"/>
      <c r="K192" s="109"/>
      <c r="L192" s="109"/>
      <c r="M192" s="109"/>
      <c r="N192" s="109"/>
    </row>
    <row r="193" spans="1:14" s="111" customFormat="1">
      <c r="A193" s="88">
        <f t="shared" si="3"/>
        <v>55</v>
      </c>
      <c r="B193" s="103"/>
      <c r="C193" s="104"/>
      <c r="D193" s="104"/>
      <c r="E193" s="105"/>
      <c r="F193" s="103"/>
      <c r="G193" s="106"/>
      <c r="H193" s="107"/>
      <c r="I193" s="108"/>
      <c r="J193" s="107"/>
      <c r="K193" s="109"/>
      <c r="L193" s="109"/>
      <c r="M193" s="109"/>
      <c r="N193" s="109"/>
    </row>
    <row r="194" spans="1:14" s="81" customFormat="1">
      <c r="A194" s="38">
        <f t="shared" si="3"/>
        <v>56</v>
      </c>
      <c r="B194" s="55"/>
      <c r="C194" s="77"/>
      <c r="D194" s="77"/>
      <c r="E194" s="78"/>
      <c r="F194" s="55"/>
      <c r="G194" s="79"/>
      <c r="H194" s="15"/>
      <c r="I194" s="80"/>
      <c r="J194" s="15"/>
      <c r="K194" s="16"/>
      <c r="L194" s="16"/>
      <c r="M194" s="16"/>
      <c r="N194" s="16"/>
    </row>
    <row r="195" spans="1:14" s="81" customFormat="1">
      <c r="A195" s="38">
        <f t="shared" si="3"/>
        <v>57</v>
      </c>
      <c r="B195" s="55"/>
      <c r="C195" s="77"/>
      <c r="D195" s="77"/>
      <c r="E195" s="78"/>
      <c r="F195" s="55"/>
      <c r="G195" s="79"/>
      <c r="H195" s="15"/>
      <c r="I195" s="80"/>
      <c r="J195" s="15"/>
      <c r="K195" s="16"/>
      <c r="L195" s="16"/>
      <c r="M195" s="16"/>
      <c r="N195" s="16"/>
    </row>
    <row r="196" spans="1:14" s="81" customFormat="1">
      <c r="A196" s="38">
        <f t="shared" si="3"/>
        <v>58</v>
      </c>
      <c r="B196" s="55"/>
      <c r="C196" s="77"/>
      <c r="D196" s="77"/>
      <c r="E196" s="78"/>
      <c r="F196" s="55"/>
      <c r="G196" s="79"/>
      <c r="H196" s="15"/>
      <c r="I196" s="80"/>
      <c r="J196" s="15"/>
      <c r="K196" s="16"/>
      <c r="L196" s="16"/>
      <c r="M196" s="16"/>
      <c r="N196" s="16"/>
    </row>
    <row r="197" spans="1:14" s="86" customFormat="1">
      <c r="A197" s="38">
        <f t="shared" si="3"/>
        <v>59</v>
      </c>
      <c r="B197" s="56"/>
      <c r="C197" s="82"/>
      <c r="D197" s="82"/>
      <c r="E197" s="83"/>
      <c r="F197" s="56"/>
      <c r="G197" s="84"/>
      <c r="H197" s="57"/>
      <c r="I197" s="85"/>
      <c r="J197" s="57"/>
      <c r="K197" s="58"/>
      <c r="L197" s="58"/>
      <c r="M197" s="58"/>
      <c r="N197" s="58"/>
    </row>
    <row r="198" spans="1:14">
      <c r="A198" s="59"/>
      <c r="B198" s="60"/>
      <c r="C198" s="60"/>
      <c r="D198" s="61"/>
      <c r="E198" s="62"/>
      <c r="F198" s="63" t="s">
        <v>28</v>
      </c>
      <c r="G198" s="64">
        <f>SUM(G139:G153)</f>
        <v>272.67900000000003</v>
      </c>
      <c r="H198" s="53">
        <f>SUM(H139:H153)</f>
        <v>14.639999999999999</v>
      </c>
      <c r="I198" s="64">
        <f>SUM(I139:I153)</f>
        <v>256.08300000000003</v>
      </c>
      <c r="J198" s="53">
        <f>SUM(J139:J153)</f>
        <v>1.956</v>
      </c>
      <c r="K198" s="35"/>
      <c r="L198" s="35"/>
      <c r="M198" s="35"/>
      <c r="N198" s="35"/>
    </row>
    <row r="199" spans="1:14" s="48" customFormat="1" ht="21" customHeight="1">
      <c r="A199" s="2961" t="s">
        <v>722</v>
      </c>
      <c r="B199" s="2961"/>
      <c r="C199" s="2961"/>
      <c r="D199" s="2961"/>
      <c r="E199" s="2961"/>
      <c r="F199" s="2961"/>
      <c r="G199" s="2961"/>
      <c r="H199" s="2961"/>
      <c r="I199" s="2961"/>
      <c r="J199" s="2961"/>
      <c r="K199" s="2961"/>
      <c r="L199" s="2961"/>
      <c r="M199" s="2961"/>
      <c r="N199" s="2961"/>
    </row>
    <row r="200" spans="1:14" s="48" customFormat="1">
      <c r="A200" s="2962" t="s">
        <v>947</v>
      </c>
      <c r="B200" s="2962"/>
      <c r="C200" s="2962"/>
      <c r="D200" s="2962"/>
      <c r="E200" s="2962"/>
      <c r="F200" s="2"/>
      <c r="G200" s="3"/>
      <c r="H200" s="3"/>
      <c r="I200" s="3"/>
      <c r="J200" s="3"/>
      <c r="K200" s="4"/>
      <c r="L200" s="4"/>
      <c r="M200" s="4"/>
      <c r="N200" s="4"/>
    </row>
    <row r="201" spans="1:14" s="48" customFormat="1">
      <c r="A201" s="2"/>
      <c r="B201" s="1"/>
      <c r="C201" s="1"/>
      <c r="D201" s="36"/>
      <c r="E201" s="2"/>
      <c r="F201" s="2"/>
      <c r="G201" s="2"/>
      <c r="H201" s="2"/>
      <c r="I201" s="2"/>
      <c r="J201" s="2"/>
      <c r="K201" s="37"/>
      <c r="L201" s="37"/>
      <c r="M201" s="37"/>
      <c r="N201" s="37"/>
    </row>
    <row r="202" spans="1:14" s="48" customFormat="1" ht="21" customHeight="1">
      <c r="A202" s="2963" t="s">
        <v>724</v>
      </c>
      <c r="B202" s="2963" t="s">
        <v>361</v>
      </c>
      <c r="C202" s="2963" t="s">
        <v>362</v>
      </c>
      <c r="D202" s="2964" t="s">
        <v>725</v>
      </c>
      <c r="E202" s="2963" t="s">
        <v>726</v>
      </c>
      <c r="F202" s="2963" t="s">
        <v>574</v>
      </c>
      <c r="G202" s="2963" t="s">
        <v>727</v>
      </c>
      <c r="H202" s="2963" t="s">
        <v>728</v>
      </c>
      <c r="I202" s="2963"/>
      <c r="J202" s="2963"/>
      <c r="K202" s="2968" t="s">
        <v>729</v>
      </c>
      <c r="L202" s="2969"/>
      <c r="M202" s="2969"/>
      <c r="N202" s="2970"/>
    </row>
    <row r="203" spans="1:14" s="48" customFormat="1">
      <c r="A203" s="2963"/>
      <c r="B203" s="2963"/>
      <c r="C203" s="2963"/>
      <c r="D203" s="2964"/>
      <c r="E203" s="2963"/>
      <c r="F203" s="2963"/>
      <c r="G203" s="2963"/>
      <c r="H203" s="2971" t="s">
        <v>7</v>
      </c>
      <c r="I203" s="2971" t="s">
        <v>730</v>
      </c>
      <c r="J203" s="2971" t="s">
        <v>282</v>
      </c>
      <c r="K203" s="2968" t="s">
        <v>731</v>
      </c>
      <c r="L203" s="2970"/>
      <c r="M203" s="2968" t="s">
        <v>732</v>
      </c>
      <c r="N203" s="2970"/>
    </row>
    <row r="204" spans="1:14" s="48" customFormat="1">
      <c r="A204" s="2963"/>
      <c r="B204" s="2963"/>
      <c r="C204" s="2963"/>
      <c r="D204" s="2964"/>
      <c r="E204" s="2963"/>
      <c r="F204" s="2963"/>
      <c r="G204" s="2963"/>
      <c r="H204" s="2972"/>
      <c r="I204" s="2972"/>
      <c r="J204" s="2972"/>
      <c r="K204" s="6" t="s">
        <v>733</v>
      </c>
      <c r="L204" s="6" t="s">
        <v>734</v>
      </c>
      <c r="M204" s="6" t="s">
        <v>733</v>
      </c>
      <c r="N204" s="6" t="s">
        <v>734</v>
      </c>
    </row>
    <row r="205" spans="1:14" s="116" customFormat="1">
      <c r="A205" s="112">
        <v>1</v>
      </c>
      <c r="B205" s="112" t="s">
        <v>1014</v>
      </c>
      <c r="C205" s="113" t="s">
        <v>1436</v>
      </c>
      <c r="D205" s="113" t="s">
        <v>706</v>
      </c>
      <c r="E205" s="112" t="s">
        <v>1015</v>
      </c>
      <c r="F205" s="120" t="s">
        <v>243</v>
      </c>
      <c r="G205" s="114">
        <v>16.266999999999999</v>
      </c>
      <c r="H205" s="114"/>
      <c r="I205" s="114">
        <v>16.266999999999999</v>
      </c>
      <c r="J205" s="114"/>
      <c r="K205" s="115">
        <v>6.7259599999999997</v>
      </c>
      <c r="L205" s="115">
        <v>101.50494</v>
      </c>
      <c r="M205" s="115">
        <v>6.6373600000000001</v>
      </c>
      <c r="N205" s="115">
        <v>101.44019</v>
      </c>
    </row>
    <row r="206" spans="1:14" s="116" customFormat="1">
      <c r="A206" s="68">
        <f>+A205+1</f>
        <v>2</v>
      </c>
      <c r="B206" s="68" t="s">
        <v>1016</v>
      </c>
      <c r="C206" s="117" t="s">
        <v>1437</v>
      </c>
      <c r="D206" s="117" t="s">
        <v>706</v>
      </c>
      <c r="E206" s="68" t="s">
        <v>1017</v>
      </c>
      <c r="F206" s="68" t="s">
        <v>243</v>
      </c>
      <c r="G206" s="118">
        <v>12.734999999999999</v>
      </c>
      <c r="H206" s="118"/>
      <c r="I206" s="118">
        <v>12.734999999999999</v>
      </c>
      <c r="J206" s="118"/>
      <c r="K206" s="119">
        <v>6.6695099999999998</v>
      </c>
      <c r="L206" s="119">
        <v>101.30434</v>
      </c>
      <c r="M206" s="119">
        <v>6.72187</v>
      </c>
      <c r="N206" s="119">
        <v>101.40008</v>
      </c>
    </row>
    <row r="207" spans="1:14" s="24" customFormat="1">
      <c r="A207" s="68">
        <f t="shared" ref="A207:A263" si="4">+A206+1</f>
        <v>3</v>
      </c>
      <c r="B207" s="120" t="s">
        <v>948</v>
      </c>
      <c r="C207" s="121" t="s">
        <v>1439</v>
      </c>
      <c r="D207" s="121" t="s">
        <v>706</v>
      </c>
      <c r="E207" s="120" t="s">
        <v>949</v>
      </c>
      <c r="F207" s="120" t="s">
        <v>243</v>
      </c>
      <c r="G207" s="120">
        <v>9.2910000000000004</v>
      </c>
      <c r="H207" s="120"/>
      <c r="I207" s="120">
        <v>9.2910000000000004</v>
      </c>
      <c r="J207" s="120"/>
      <c r="K207" s="120">
        <v>6.8121749999999999</v>
      </c>
      <c r="L207" s="120">
        <v>101.0989</v>
      </c>
      <c r="M207" s="120">
        <v>6.7312019999999997</v>
      </c>
      <c r="N207" s="120">
        <v>101.093361</v>
      </c>
    </row>
    <row r="208" spans="1:14" s="116" customFormat="1">
      <c r="A208" s="68">
        <f t="shared" si="4"/>
        <v>4</v>
      </c>
      <c r="B208" s="68" t="s">
        <v>1018</v>
      </c>
      <c r="C208" s="117" t="s">
        <v>1438</v>
      </c>
      <c r="D208" s="117" t="s">
        <v>706</v>
      </c>
      <c r="E208" s="68" t="s">
        <v>1019</v>
      </c>
      <c r="F208" s="120" t="s">
        <v>243</v>
      </c>
      <c r="G208" s="118">
        <v>8.8710000000000004</v>
      </c>
      <c r="H208" s="118"/>
      <c r="I208" s="118">
        <v>8.8710000000000004</v>
      </c>
      <c r="J208" s="118"/>
      <c r="K208" s="119">
        <v>6.6563999999999997</v>
      </c>
      <c r="L208" s="119">
        <v>101.50933999999999</v>
      </c>
      <c r="M208" s="119">
        <v>6.5931899999999999</v>
      </c>
      <c r="N208" s="119">
        <v>101.53055999999999</v>
      </c>
    </row>
    <row r="209" spans="1:14" s="116" customFormat="1">
      <c r="A209" s="68">
        <f t="shared" si="4"/>
        <v>5</v>
      </c>
      <c r="B209" s="68" t="s">
        <v>1020</v>
      </c>
      <c r="C209" s="117" t="s">
        <v>1440</v>
      </c>
      <c r="D209" s="117" t="s">
        <v>706</v>
      </c>
      <c r="E209" s="68" t="s">
        <v>1021</v>
      </c>
      <c r="F209" s="120" t="s">
        <v>243</v>
      </c>
      <c r="G209" s="118">
        <v>7.4320000000000004</v>
      </c>
      <c r="H209" s="118"/>
      <c r="I209" s="118">
        <v>7.4320000000000004</v>
      </c>
      <c r="J209" s="118"/>
      <c r="K209" s="119">
        <v>6.6602199999999998</v>
      </c>
      <c r="L209" s="119">
        <v>101.62544</v>
      </c>
      <c r="M209" s="119">
        <v>6.6227200000000002</v>
      </c>
      <c r="N209" s="119">
        <v>101.37264</v>
      </c>
    </row>
    <row r="210" spans="1:14" s="24" customFormat="1">
      <c r="A210" s="68">
        <f t="shared" si="4"/>
        <v>6</v>
      </c>
      <c r="B210" s="68" t="s">
        <v>950</v>
      </c>
      <c r="C210" s="117" t="s">
        <v>1441</v>
      </c>
      <c r="D210" s="117" t="s">
        <v>706</v>
      </c>
      <c r="E210" s="68" t="s">
        <v>951</v>
      </c>
      <c r="F210" s="120" t="s">
        <v>243</v>
      </c>
      <c r="G210" s="118">
        <v>17.59</v>
      </c>
      <c r="H210" s="118"/>
      <c r="I210" s="118">
        <v>17.59</v>
      </c>
      <c r="J210" s="118"/>
      <c r="K210" s="119">
        <v>6.7926359999999999</v>
      </c>
      <c r="L210" s="119">
        <v>101.147972</v>
      </c>
      <c r="M210" s="119">
        <v>6.7632000000000003</v>
      </c>
      <c r="N210" s="119">
        <v>101.29445</v>
      </c>
    </row>
    <row r="211" spans="1:14" s="116" customFormat="1">
      <c r="A211" s="68">
        <f t="shared" si="4"/>
        <v>7</v>
      </c>
      <c r="B211" s="68" t="s">
        <v>1022</v>
      </c>
      <c r="C211" s="117" t="s">
        <v>1442</v>
      </c>
      <c r="D211" s="117" t="s">
        <v>706</v>
      </c>
      <c r="E211" s="122" t="s">
        <v>1023</v>
      </c>
      <c r="F211" s="120" t="s">
        <v>243</v>
      </c>
      <c r="G211" s="118">
        <v>8.6</v>
      </c>
      <c r="H211" s="118"/>
      <c r="I211" s="118">
        <v>8.6</v>
      </c>
      <c r="J211" s="118"/>
      <c r="K211" s="119">
        <v>6.6163800000000004</v>
      </c>
      <c r="L211" s="119">
        <v>101.4289</v>
      </c>
      <c r="M211" s="119">
        <v>6.6393700000000004</v>
      </c>
      <c r="N211" s="119">
        <v>101.37264</v>
      </c>
    </row>
    <row r="212" spans="1:14" s="24" customFormat="1">
      <c r="A212" s="68">
        <f t="shared" si="4"/>
        <v>8</v>
      </c>
      <c r="B212" s="68" t="s">
        <v>952</v>
      </c>
      <c r="C212" s="117" t="s">
        <v>1443</v>
      </c>
      <c r="D212" s="117" t="s">
        <v>706</v>
      </c>
      <c r="E212" s="68" t="s">
        <v>953</v>
      </c>
      <c r="F212" s="120" t="s">
        <v>243</v>
      </c>
      <c r="G212" s="118">
        <v>18.855</v>
      </c>
      <c r="H212" s="118"/>
      <c r="I212" s="118">
        <v>18.855</v>
      </c>
      <c r="J212" s="118"/>
      <c r="K212" s="119">
        <v>6.7420720000000003</v>
      </c>
      <c r="L212" s="119">
        <v>101.135186</v>
      </c>
      <c r="M212" s="119">
        <v>6.7366910000000004</v>
      </c>
      <c r="N212" s="119">
        <v>101.28572699999999</v>
      </c>
    </row>
    <row r="213" spans="1:14" s="24" customFormat="1">
      <c r="A213" s="68">
        <f t="shared" si="4"/>
        <v>9</v>
      </c>
      <c r="B213" s="68" t="s">
        <v>954</v>
      </c>
      <c r="C213" s="117" t="s">
        <v>1444</v>
      </c>
      <c r="D213" s="117" t="s">
        <v>706</v>
      </c>
      <c r="E213" s="68" t="s">
        <v>955</v>
      </c>
      <c r="F213" s="120" t="s">
        <v>243</v>
      </c>
      <c r="G213" s="118">
        <v>21.068999999999999</v>
      </c>
      <c r="H213" s="118"/>
      <c r="I213" s="118">
        <v>21.068999999999999</v>
      </c>
      <c r="J213" s="118"/>
      <c r="K213" s="119">
        <v>6.6792220000000002</v>
      </c>
      <c r="L213" s="119">
        <v>101.14610500000001</v>
      </c>
      <c r="M213" s="119">
        <v>6.7160190000000002</v>
      </c>
      <c r="N213" s="119">
        <v>101.287508</v>
      </c>
    </row>
    <row r="214" spans="1:14" s="24" customFormat="1">
      <c r="A214" s="68">
        <f t="shared" si="4"/>
        <v>10</v>
      </c>
      <c r="B214" s="68" t="s">
        <v>956</v>
      </c>
      <c r="C214" s="117" t="s">
        <v>1445</v>
      </c>
      <c r="D214" s="117" t="s">
        <v>706</v>
      </c>
      <c r="E214" s="68" t="s">
        <v>957</v>
      </c>
      <c r="F214" s="120" t="s">
        <v>243</v>
      </c>
      <c r="G214" s="118">
        <v>9.9760000000000009</v>
      </c>
      <c r="H214" s="118"/>
      <c r="I214" s="118">
        <v>9.9760000000000009</v>
      </c>
      <c r="J214" s="118"/>
      <c r="K214" s="119">
        <v>6.8523379999999996</v>
      </c>
      <c r="L214" s="119">
        <v>101.237452</v>
      </c>
      <c r="M214" s="119">
        <v>6.8491790000000004</v>
      </c>
      <c r="N214" s="119">
        <v>101.193541</v>
      </c>
    </row>
    <row r="215" spans="1:14" s="24" customFormat="1">
      <c r="A215" s="68">
        <f t="shared" si="4"/>
        <v>11</v>
      </c>
      <c r="B215" s="68" t="s">
        <v>958</v>
      </c>
      <c r="C215" s="117" t="s">
        <v>1446</v>
      </c>
      <c r="D215" s="117" t="s">
        <v>706</v>
      </c>
      <c r="E215" s="68" t="s">
        <v>959</v>
      </c>
      <c r="F215" s="120" t="s">
        <v>243</v>
      </c>
      <c r="G215" s="118">
        <v>11.49</v>
      </c>
      <c r="H215" s="118"/>
      <c r="I215" s="118">
        <v>11.49</v>
      </c>
      <c r="J215" s="118"/>
      <c r="K215" s="119">
        <v>6.6326939999999999</v>
      </c>
      <c r="L215" s="119">
        <v>101.186975</v>
      </c>
      <c r="M215" s="119">
        <v>6.6840219999999997</v>
      </c>
      <c r="N215" s="119">
        <v>101.25194999999999</v>
      </c>
    </row>
    <row r="216" spans="1:14" s="24" customFormat="1">
      <c r="A216" s="68">
        <f t="shared" si="4"/>
        <v>12</v>
      </c>
      <c r="B216" s="68" t="s">
        <v>1024</v>
      </c>
      <c r="C216" s="117" t="s">
        <v>1434</v>
      </c>
      <c r="D216" s="117" t="s">
        <v>706</v>
      </c>
      <c r="E216" s="68" t="s">
        <v>1025</v>
      </c>
      <c r="F216" s="120" t="s">
        <v>243</v>
      </c>
      <c r="G216" s="118">
        <v>13.5</v>
      </c>
      <c r="H216" s="118"/>
      <c r="I216" s="118">
        <v>13.5</v>
      </c>
      <c r="J216" s="118"/>
      <c r="K216" s="119">
        <v>6.76356</v>
      </c>
      <c r="L216" s="119">
        <v>101.48855</v>
      </c>
      <c r="M216" s="119">
        <v>6.7703100000000003</v>
      </c>
      <c r="N216" s="119">
        <v>101.60082</v>
      </c>
    </row>
    <row r="217" spans="1:14" s="24" customFormat="1">
      <c r="A217" s="68">
        <f t="shared" si="4"/>
        <v>13</v>
      </c>
      <c r="B217" s="68" t="s">
        <v>960</v>
      </c>
      <c r="C217" s="117" t="s">
        <v>1435</v>
      </c>
      <c r="D217" s="117" t="s">
        <v>706</v>
      </c>
      <c r="E217" s="68" t="s">
        <v>961</v>
      </c>
      <c r="F217" s="120" t="s">
        <v>243</v>
      </c>
      <c r="G217" s="118">
        <v>13.115</v>
      </c>
      <c r="H217" s="118"/>
      <c r="I217" s="118">
        <v>13.115</v>
      </c>
      <c r="J217" s="118"/>
      <c r="K217" s="119">
        <v>6.8467520000000004</v>
      </c>
      <c r="L217" s="119">
        <v>101.379786</v>
      </c>
      <c r="M217" s="119">
        <v>6.8540720000000004</v>
      </c>
      <c r="N217" s="119">
        <v>101.48929699999999</v>
      </c>
    </row>
    <row r="218" spans="1:14" s="24" customFormat="1">
      <c r="A218" s="68">
        <f t="shared" si="4"/>
        <v>14</v>
      </c>
      <c r="B218" s="68" t="s">
        <v>1026</v>
      </c>
      <c r="C218" s="117" t="s">
        <v>1447</v>
      </c>
      <c r="D218" s="117" t="s">
        <v>706</v>
      </c>
      <c r="E218" s="68" t="s">
        <v>1027</v>
      </c>
      <c r="F218" s="120" t="s">
        <v>243</v>
      </c>
      <c r="G218" s="118">
        <v>14.707000000000001</v>
      </c>
      <c r="H218" s="118"/>
      <c r="I218" s="118">
        <v>14.707000000000001</v>
      </c>
      <c r="J218" s="118"/>
      <c r="K218" s="119">
        <v>6.8395299999999999</v>
      </c>
      <c r="L218" s="119">
        <v>101.4854</v>
      </c>
      <c r="M218" s="119">
        <v>6.8108310000000003</v>
      </c>
      <c r="N218" s="119">
        <v>101.57501000000001</v>
      </c>
    </row>
    <row r="219" spans="1:14" s="24" customFormat="1">
      <c r="A219" s="68">
        <f t="shared" si="4"/>
        <v>15</v>
      </c>
      <c r="B219" s="68" t="s">
        <v>962</v>
      </c>
      <c r="C219" s="117" t="s">
        <v>1448</v>
      </c>
      <c r="D219" s="117" t="s">
        <v>706</v>
      </c>
      <c r="E219" s="68" t="s">
        <v>963</v>
      </c>
      <c r="F219" s="120" t="s">
        <v>243</v>
      </c>
      <c r="G219" s="118">
        <v>6.05</v>
      </c>
      <c r="H219" s="118"/>
      <c r="I219" s="118">
        <v>6.05</v>
      </c>
      <c r="J219" s="118"/>
      <c r="K219" s="119">
        <v>6.7932269999999999</v>
      </c>
      <c r="L219" s="119">
        <v>101.147944</v>
      </c>
      <c r="M219" s="119">
        <v>6.7965220000000004</v>
      </c>
      <c r="N219" s="119">
        <v>101.098219</v>
      </c>
    </row>
    <row r="220" spans="1:14" s="24" customFormat="1">
      <c r="A220" s="68">
        <f t="shared" si="4"/>
        <v>16</v>
      </c>
      <c r="B220" s="68" t="s">
        <v>1028</v>
      </c>
      <c r="C220" s="117" t="s">
        <v>1288</v>
      </c>
      <c r="D220" s="117" t="s">
        <v>706</v>
      </c>
      <c r="E220" s="68" t="s">
        <v>1029</v>
      </c>
      <c r="F220" s="120" t="s">
        <v>243</v>
      </c>
      <c r="G220" s="118">
        <v>21.620999999999999</v>
      </c>
      <c r="H220" s="118"/>
      <c r="I220" s="118">
        <v>21.620999999999999</v>
      </c>
      <c r="J220" s="118"/>
      <c r="K220" s="119">
        <v>6.8613900000000001</v>
      </c>
      <c r="L220" s="119">
        <v>101.36772000000001</v>
      </c>
      <c r="M220" s="119">
        <v>6.7127999999999997</v>
      </c>
      <c r="N220" s="119">
        <v>101.29069</v>
      </c>
    </row>
    <row r="221" spans="1:14" s="24" customFormat="1">
      <c r="A221" s="68">
        <f t="shared" si="4"/>
        <v>17</v>
      </c>
      <c r="B221" s="68" t="s">
        <v>1030</v>
      </c>
      <c r="C221" s="117" t="s">
        <v>1449</v>
      </c>
      <c r="D221" s="117" t="s">
        <v>706</v>
      </c>
      <c r="E221" s="68" t="s">
        <v>1031</v>
      </c>
      <c r="F221" s="120" t="s">
        <v>243</v>
      </c>
      <c r="G221" s="118">
        <v>12.385999999999999</v>
      </c>
      <c r="H221" s="118"/>
      <c r="I221" s="118">
        <v>12.385999999999999</v>
      </c>
      <c r="J221" s="118"/>
      <c r="K221" s="119">
        <v>6.8163499999999999</v>
      </c>
      <c r="L221" s="119">
        <v>101.41553</v>
      </c>
      <c r="M221" s="119">
        <v>6.7220700000000004</v>
      </c>
      <c r="N221" s="119">
        <v>101.40319</v>
      </c>
    </row>
    <row r="222" spans="1:14" s="24" customFormat="1">
      <c r="A222" s="68">
        <f t="shared" si="4"/>
        <v>18</v>
      </c>
      <c r="B222" s="68" t="s">
        <v>1032</v>
      </c>
      <c r="C222" s="117" t="s">
        <v>1450</v>
      </c>
      <c r="D222" s="117" t="s">
        <v>706</v>
      </c>
      <c r="E222" s="68" t="s">
        <v>1031</v>
      </c>
      <c r="F222" s="120" t="s">
        <v>243</v>
      </c>
      <c r="G222" s="118">
        <v>8.6310000000000002</v>
      </c>
      <c r="H222" s="118"/>
      <c r="I222" s="118">
        <v>8.6310000000000002</v>
      </c>
      <c r="J222" s="118"/>
      <c r="K222" s="119">
        <v>6.7982899999999997</v>
      </c>
      <c r="L222" s="119">
        <v>101.43288</v>
      </c>
      <c r="M222" s="119">
        <v>6.7366999999999999</v>
      </c>
      <c r="N222" s="119">
        <v>101.42743</v>
      </c>
    </row>
    <row r="223" spans="1:14" s="24" customFormat="1">
      <c r="A223" s="68">
        <f t="shared" si="4"/>
        <v>19</v>
      </c>
      <c r="B223" s="68" t="s">
        <v>1033</v>
      </c>
      <c r="C223" s="117" t="s">
        <v>1451</v>
      </c>
      <c r="D223" s="117" t="s">
        <v>706</v>
      </c>
      <c r="E223" s="68" t="s">
        <v>1034</v>
      </c>
      <c r="F223" s="120" t="s">
        <v>243</v>
      </c>
      <c r="G223" s="118">
        <v>15.32</v>
      </c>
      <c r="H223" s="118"/>
      <c r="I223" s="118">
        <v>15.32</v>
      </c>
      <c r="J223" s="118"/>
      <c r="K223" s="119">
        <v>6.6833200000000001</v>
      </c>
      <c r="L223" s="119">
        <v>101.57477</v>
      </c>
      <c r="M223" s="119">
        <v>6.5605399999999996</v>
      </c>
      <c r="N223" s="119">
        <v>101.53404</v>
      </c>
    </row>
    <row r="224" spans="1:14" s="24" customFormat="1">
      <c r="A224" s="68">
        <f t="shared" si="4"/>
        <v>20</v>
      </c>
      <c r="B224" s="68" t="s">
        <v>964</v>
      </c>
      <c r="C224" s="117" t="s">
        <v>1452</v>
      </c>
      <c r="D224" s="117" t="s">
        <v>706</v>
      </c>
      <c r="E224" s="68" t="s">
        <v>965</v>
      </c>
      <c r="F224" s="120" t="s">
        <v>243</v>
      </c>
      <c r="G224" s="118">
        <v>12.965999999999999</v>
      </c>
      <c r="H224" s="118"/>
      <c r="I224" s="118">
        <v>12.965999999999999</v>
      </c>
      <c r="J224" s="118"/>
      <c r="K224" s="119">
        <v>6.8656579999999998</v>
      </c>
      <c r="L224" s="119">
        <v>101.48154100000001</v>
      </c>
      <c r="M224" s="119">
        <v>6.8919689999999996</v>
      </c>
      <c r="N224" s="119">
        <v>101.378027</v>
      </c>
    </row>
    <row r="225" spans="1:14" s="24" customFormat="1">
      <c r="A225" s="68">
        <f t="shared" si="4"/>
        <v>21</v>
      </c>
      <c r="B225" s="68" t="s">
        <v>966</v>
      </c>
      <c r="C225" s="117" t="s">
        <v>1453</v>
      </c>
      <c r="D225" s="117" t="s">
        <v>706</v>
      </c>
      <c r="E225" s="68" t="s">
        <v>967</v>
      </c>
      <c r="F225" s="120" t="s">
        <v>243</v>
      </c>
      <c r="G225" s="107">
        <v>6.8250000000000002</v>
      </c>
      <c r="H225" s="107"/>
      <c r="I225" s="107">
        <v>6.8250000000000002</v>
      </c>
      <c r="J225" s="118"/>
      <c r="K225" s="119">
        <v>6.6516799999999998</v>
      </c>
      <c r="L225" s="119">
        <v>101.21760999999999</v>
      </c>
      <c r="M225" s="119">
        <v>6.66479</v>
      </c>
      <c r="N225" s="119">
        <v>101.16477</v>
      </c>
    </row>
    <row r="226" spans="1:14" s="24" customFormat="1">
      <c r="A226" s="68">
        <f t="shared" si="4"/>
        <v>22</v>
      </c>
      <c r="B226" s="68" t="s">
        <v>1035</v>
      </c>
      <c r="C226" s="117" t="s">
        <v>1455</v>
      </c>
      <c r="D226" s="117" t="s">
        <v>706</v>
      </c>
      <c r="E226" s="68" t="s">
        <v>1036</v>
      </c>
      <c r="F226" s="120" t="s">
        <v>243</v>
      </c>
      <c r="G226" s="118">
        <v>15.016999999999999</v>
      </c>
      <c r="H226" s="118"/>
      <c r="I226" s="107">
        <v>15.016999999999999</v>
      </c>
      <c r="J226" s="118"/>
      <c r="K226" s="119">
        <v>6.6767799999999999</v>
      </c>
      <c r="L226" s="119">
        <v>101.60495</v>
      </c>
      <c r="M226" s="119">
        <v>6.7855299999999996</v>
      </c>
      <c r="N226" s="119">
        <v>101.54919</v>
      </c>
    </row>
    <row r="227" spans="1:14" s="24" customFormat="1">
      <c r="A227" s="68">
        <f t="shared" si="4"/>
        <v>23</v>
      </c>
      <c r="B227" s="68" t="s">
        <v>1037</v>
      </c>
      <c r="C227" s="117" t="s">
        <v>1454</v>
      </c>
      <c r="D227" s="117" t="s">
        <v>706</v>
      </c>
      <c r="E227" s="68" t="s">
        <v>1038</v>
      </c>
      <c r="F227" s="120" t="s">
        <v>243</v>
      </c>
      <c r="G227" s="118">
        <v>7.2</v>
      </c>
      <c r="H227" s="118"/>
      <c r="I227" s="118">
        <v>7.2</v>
      </c>
      <c r="J227" s="118"/>
      <c r="K227" s="119">
        <v>6.64879</v>
      </c>
      <c r="L227" s="119">
        <v>101.41744</v>
      </c>
      <c r="M227" s="119">
        <v>6.5909199999999997</v>
      </c>
      <c r="N227" s="119">
        <v>101.39426</v>
      </c>
    </row>
    <row r="228" spans="1:14" s="24" customFormat="1">
      <c r="A228" s="68">
        <f t="shared" si="4"/>
        <v>24</v>
      </c>
      <c r="B228" s="68" t="s">
        <v>968</v>
      </c>
      <c r="C228" s="117" t="s">
        <v>1456</v>
      </c>
      <c r="D228" s="117" t="s">
        <v>706</v>
      </c>
      <c r="E228" s="68" t="s">
        <v>969</v>
      </c>
      <c r="F228" s="120" t="s">
        <v>243</v>
      </c>
      <c r="G228" s="118">
        <v>14.696999999999999</v>
      </c>
      <c r="H228" s="118"/>
      <c r="I228" s="118">
        <v>14.696999999999999</v>
      </c>
      <c r="J228" s="118"/>
      <c r="K228" s="119">
        <v>6.7284769999999998</v>
      </c>
      <c r="L228" s="119">
        <v>101.03744399999999</v>
      </c>
      <c r="M228" s="119">
        <v>6.826441</v>
      </c>
      <c r="N228" s="119">
        <v>101.048177</v>
      </c>
    </row>
    <row r="229" spans="1:14" s="24" customFormat="1">
      <c r="A229" s="68">
        <f t="shared" si="4"/>
        <v>25</v>
      </c>
      <c r="B229" s="68" t="s">
        <v>1039</v>
      </c>
      <c r="C229" s="117" t="s">
        <v>1457</v>
      </c>
      <c r="D229" s="117" t="s">
        <v>706</v>
      </c>
      <c r="E229" s="68" t="s">
        <v>1040</v>
      </c>
      <c r="F229" s="120" t="s">
        <v>243</v>
      </c>
      <c r="G229" s="107">
        <v>9.1359999999999992</v>
      </c>
      <c r="H229" s="107"/>
      <c r="I229" s="107">
        <v>9.1359999999999992</v>
      </c>
      <c r="J229" s="118"/>
      <c r="K229" s="119">
        <v>6.6354199999999999</v>
      </c>
      <c r="L229" s="119">
        <v>101.62914000000001</v>
      </c>
      <c r="M229" s="119">
        <v>6.6773600000000002</v>
      </c>
      <c r="N229" s="119">
        <v>101.57178</v>
      </c>
    </row>
    <row r="230" spans="1:14" s="24" customFormat="1">
      <c r="A230" s="68">
        <f t="shared" si="4"/>
        <v>26</v>
      </c>
      <c r="B230" s="68" t="s">
        <v>970</v>
      </c>
      <c r="C230" s="117" t="s">
        <v>1458</v>
      </c>
      <c r="D230" s="117" t="s">
        <v>706</v>
      </c>
      <c r="E230" s="68" t="s">
        <v>971</v>
      </c>
      <c r="F230" s="120" t="s">
        <v>243</v>
      </c>
      <c r="G230" s="118">
        <v>4.4020000000000001</v>
      </c>
      <c r="H230" s="118"/>
      <c r="I230" s="118">
        <v>4.4020000000000001</v>
      </c>
      <c r="J230" s="118"/>
      <c r="K230" s="119">
        <v>6.8337500000000002</v>
      </c>
      <c r="L230" s="119">
        <v>101.386633</v>
      </c>
      <c r="M230" s="119">
        <v>6.8306079999999998</v>
      </c>
      <c r="N230" s="119">
        <v>101.350888</v>
      </c>
    </row>
    <row r="231" spans="1:14" s="24" customFormat="1">
      <c r="A231" s="68">
        <f t="shared" si="4"/>
        <v>27</v>
      </c>
      <c r="B231" s="68" t="s">
        <v>972</v>
      </c>
      <c r="C231" s="117" t="s">
        <v>973</v>
      </c>
      <c r="D231" s="117" t="s">
        <v>706</v>
      </c>
      <c r="E231" s="68" t="s">
        <v>967</v>
      </c>
      <c r="F231" s="120" t="s">
        <v>243</v>
      </c>
      <c r="G231" s="118">
        <v>3.1949999999999998</v>
      </c>
      <c r="H231" s="118"/>
      <c r="I231" s="118">
        <v>3.1949999999999998</v>
      </c>
      <c r="J231" s="118"/>
      <c r="K231" s="119">
        <v>6.7572749999999999</v>
      </c>
      <c r="L231" s="119">
        <v>101.04813</v>
      </c>
      <c r="M231" s="119">
        <v>6.7585519999999999</v>
      </c>
      <c r="N231" s="119">
        <v>101.02133000000001</v>
      </c>
    </row>
    <row r="232" spans="1:14" s="24" customFormat="1">
      <c r="A232" s="68">
        <f t="shared" si="4"/>
        <v>28</v>
      </c>
      <c r="B232" s="68" t="s">
        <v>974</v>
      </c>
      <c r="C232" s="117" t="s">
        <v>975</v>
      </c>
      <c r="D232" s="117" t="s">
        <v>706</v>
      </c>
      <c r="E232" s="68" t="s">
        <v>769</v>
      </c>
      <c r="F232" s="120" t="s">
        <v>243</v>
      </c>
      <c r="G232" s="118">
        <v>4.242</v>
      </c>
      <c r="H232" s="118"/>
      <c r="I232" s="118">
        <v>4.242</v>
      </c>
      <c r="J232" s="118"/>
      <c r="K232" s="119">
        <v>6.8863000000000003</v>
      </c>
      <c r="L232" s="119">
        <v>101.255483</v>
      </c>
      <c r="M232" s="119">
        <v>6.8919129999999997</v>
      </c>
      <c r="N232" s="119">
        <v>101.241713</v>
      </c>
    </row>
    <row r="233" spans="1:14" s="24" customFormat="1">
      <c r="A233" s="68">
        <f t="shared" si="4"/>
        <v>29</v>
      </c>
      <c r="B233" s="68" t="s">
        <v>1041</v>
      </c>
      <c r="C233" s="117" t="s">
        <v>1459</v>
      </c>
      <c r="D233" s="117" t="s">
        <v>706</v>
      </c>
      <c r="E233" s="68" t="s">
        <v>1042</v>
      </c>
      <c r="F233" s="120" t="s">
        <v>243</v>
      </c>
      <c r="G233" s="118">
        <v>12.086</v>
      </c>
      <c r="H233" s="118"/>
      <c r="I233" s="118">
        <v>12.086</v>
      </c>
      <c r="J233" s="118"/>
      <c r="K233" s="119">
        <v>6.6182699999999999</v>
      </c>
      <c r="L233" s="119">
        <v>101.30595</v>
      </c>
      <c r="M233" s="119">
        <v>6.5793400000000002</v>
      </c>
      <c r="N233" s="119">
        <v>101.38923</v>
      </c>
    </row>
    <row r="234" spans="1:14" s="24" customFormat="1">
      <c r="A234" s="68">
        <f t="shared" si="4"/>
        <v>30</v>
      </c>
      <c r="B234" s="68" t="s">
        <v>976</v>
      </c>
      <c r="C234" s="117" t="s">
        <v>977</v>
      </c>
      <c r="D234" s="117" t="s">
        <v>706</v>
      </c>
      <c r="E234" s="68" t="s">
        <v>978</v>
      </c>
      <c r="F234" s="120" t="s">
        <v>243</v>
      </c>
      <c r="G234" s="118">
        <v>15.324999999999999</v>
      </c>
      <c r="H234" s="118"/>
      <c r="I234" s="118">
        <v>15.324999999999999</v>
      </c>
      <c r="J234" s="118"/>
      <c r="K234" s="119">
        <v>6.6826379999999999</v>
      </c>
      <c r="L234" s="119">
        <v>101.266738</v>
      </c>
      <c r="M234" s="119">
        <v>6.7805749999999998</v>
      </c>
      <c r="N234" s="119">
        <v>101.200861</v>
      </c>
    </row>
    <row r="235" spans="1:14" s="24" customFormat="1">
      <c r="A235" s="68">
        <f t="shared" si="4"/>
        <v>31</v>
      </c>
      <c r="B235" s="68" t="s">
        <v>979</v>
      </c>
      <c r="C235" s="117" t="s">
        <v>1460</v>
      </c>
      <c r="D235" s="117" t="s">
        <v>706</v>
      </c>
      <c r="E235" s="68" t="s">
        <v>980</v>
      </c>
      <c r="F235" s="120" t="s">
        <v>243</v>
      </c>
      <c r="G235" s="107">
        <v>24.43</v>
      </c>
      <c r="H235" s="107">
        <v>17.45</v>
      </c>
      <c r="I235" s="107">
        <v>6.98</v>
      </c>
      <c r="J235" s="118"/>
      <c r="K235" s="119">
        <v>6.6838490000000004</v>
      </c>
      <c r="L235" s="119">
        <v>101.299533</v>
      </c>
      <c r="M235" s="119">
        <v>6.724723</v>
      </c>
      <c r="N235" s="119">
        <v>101.423526</v>
      </c>
    </row>
    <row r="236" spans="1:14" s="24" customFormat="1">
      <c r="A236" s="68">
        <f t="shared" si="4"/>
        <v>32</v>
      </c>
      <c r="B236" s="68" t="s">
        <v>981</v>
      </c>
      <c r="C236" s="117" t="s">
        <v>1461</v>
      </c>
      <c r="D236" s="117" t="s">
        <v>706</v>
      </c>
      <c r="E236" s="68" t="s">
        <v>982</v>
      </c>
      <c r="F236" s="120" t="s">
        <v>243</v>
      </c>
      <c r="G236" s="118">
        <v>25.036000000000001</v>
      </c>
      <c r="H236" s="118">
        <v>1.91</v>
      </c>
      <c r="I236" s="118">
        <v>23.126000000000001</v>
      </c>
      <c r="J236" s="118"/>
      <c r="K236" s="119">
        <v>6.7367439999999998</v>
      </c>
      <c r="L236" s="119">
        <v>101.134811</v>
      </c>
      <c r="M236" s="119">
        <v>6.6585470000000004</v>
      </c>
      <c r="N236" s="119">
        <v>101.29077700000001</v>
      </c>
    </row>
    <row r="237" spans="1:14" s="24" customFormat="1">
      <c r="A237" s="68">
        <f t="shared" si="4"/>
        <v>33</v>
      </c>
      <c r="B237" s="68" t="s">
        <v>1043</v>
      </c>
      <c r="C237" s="117" t="s">
        <v>1462</v>
      </c>
      <c r="D237" s="117" t="s">
        <v>706</v>
      </c>
      <c r="E237" s="68" t="s">
        <v>1017</v>
      </c>
      <c r="F237" s="120" t="s">
        <v>243</v>
      </c>
      <c r="G237" s="118">
        <v>13.65</v>
      </c>
      <c r="H237" s="118"/>
      <c r="I237" s="118">
        <v>13.65</v>
      </c>
      <c r="J237" s="118"/>
      <c r="K237" s="119">
        <v>6.67828</v>
      </c>
      <c r="L237" s="119">
        <v>101.30419999999999</v>
      </c>
      <c r="M237" s="119">
        <v>6.7454299999999998</v>
      </c>
      <c r="N237" s="119">
        <v>101.40702</v>
      </c>
    </row>
    <row r="238" spans="1:14" s="24" customFormat="1">
      <c r="A238" s="68">
        <f t="shared" si="4"/>
        <v>34</v>
      </c>
      <c r="B238" s="68" t="s">
        <v>983</v>
      </c>
      <c r="C238" s="117" t="s">
        <v>1463</v>
      </c>
      <c r="D238" s="117" t="s">
        <v>706</v>
      </c>
      <c r="E238" s="68" t="s">
        <v>967</v>
      </c>
      <c r="F238" s="120" t="s">
        <v>243</v>
      </c>
      <c r="G238" s="118">
        <v>7.319</v>
      </c>
      <c r="H238" s="118"/>
      <c r="I238" s="118">
        <v>7.319</v>
      </c>
      <c r="J238" s="118"/>
      <c r="K238" s="119">
        <v>6.6789129999999997</v>
      </c>
      <c r="L238" s="119">
        <v>101.146066</v>
      </c>
      <c r="M238" s="119">
        <v>6.6576019999999998</v>
      </c>
      <c r="N238" s="119">
        <v>101.095377</v>
      </c>
    </row>
    <row r="239" spans="1:14" s="24" customFormat="1">
      <c r="A239" s="68">
        <f t="shared" si="4"/>
        <v>35</v>
      </c>
      <c r="B239" s="68" t="s">
        <v>1044</v>
      </c>
      <c r="C239" s="117" t="s">
        <v>1464</v>
      </c>
      <c r="D239" s="117" t="s">
        <v>706</v>
      </c>
      <c r="E239" s="68" t="s">
        <v>1040</v>
      </c>
      <c r="F239" s="120" t="s">
        <v>243</v>
      </c>
      <c r="G239" s="118">
        <v>8.15</v>
      </c>
      <c r="H239" s="118"/>
      <c r="I239" s="118">
        <v>8.15</v>
      </c>
      <c r="J239" s="118"/>
      <c r="K239" s="119">
        <v>6.6938899999999997</v>
      </c>
      <c r="L239" s="119">
        <v>101.54621</v>
      </c>
      <c r="M239" s="119">
        <v>6.7011000000000003</v>
      </c>
      <c r="N239" s="119">
        <v>101.60893</v>
      </c>
    </row>
    <row r="240" spans="1:14" s="24" customFormat="1">
      <c r="A240" s="68">
        <f t="shared" si="4"/>
        <v>36</v>
      </c>
      <c r="B240" s="68" t="s">
        <v>984</v>
      </c>
      <c r="C240" s="117" t="s">
        <v>1465</v>
      </c>
      <c r="D240" s="117" t="s">
        <v>706</v>
      </c>
      <c r="E240" s="68" t="s">
        <v>971</v>
      </c>
      <c r="F240" s="120" t="s">
        <v>243</v>
      </c>
      <c r="G240" s="118">
        <v>21.584</v>
      </c>
      <c r="H240" s="118"/>
      <c r="I240" s="118">
        <v>21.584</v>
      </c>
      <c r="J240" s="118"/>
      <c r="K240" s="119">
        <v>6.8616409999999997</v>
      </c>
      <c r="L240" s="119">
        <v>101.368088</v>
      </c>
      <c r="M240" s="119">
        <v>6.9358329999999997</v>
      </c>
      <c r="N240" s="119">
        <v>101.240752</v>
      </c>
    </row>
    <row r="241" spans="1:14" s="24" customFormat="1">
      <c r="A241" s="68">
        <f t="shared" si="4"/>
        <v>37</v>
      </c>
      <c r="B241" s="68" t="s">
        <v>985</v>
      </c>
      <c r="C241" s="117" t="s">
        <v>1466</v>
      </c>
      <c r="D241" s="117" t="s">
        <v>706</v>
      </c>
      <c r="E241" s="68" t="s">
        <v>967</v>
      </c>
      <c r="F241" s="120" t="s">
        <v>243</v>
      </c>
      <c r="G241" s="118">
        <v>10.122</v>
      </c>
      <c r="H241" s="118"/>
      <c r="I241" s="118">
        <v>9.782</v>
      </c>
      <c r="J241" s="118">
        <v>0.34</v>
      </c>
      <c r="K241" s="119">
        <v>6.7288379999999997</v>
      </c>
      <c r="L241" s="119">
        <v>101.097561</v>
      </c>
      <c r="M241" s="119">
        <v>6.6840270000000004</v>
      </c>
      <c r="N241" s="119">
        <v>101.07278599999999</v>
      </c>
    </row>
    <row r="242" spans="1:14" s="24" customFormat="1">
      <c r="A242" s="68">
        <f t="shared" si="4"/>
        <v>38</v>
      </c>
      <c r="B242" s="68" t="s">
        <v>986</v>
      </c>
      <c r="C242" s="117" t="s">
        <v>1467</v>
      </c>
      <c r="D242" s="117" t="s">
        <v>706</v>
      </c>
      <c r="E242" s="68" t="s">
        <v>967</v>
      </c>
      <c r="F242" s="120" t="s">
        <v>243</v>
      </c>
      <c r="G242" s="118">
        <v>9.9730000000000008</v>
      </c>
      <c r="H242" s="118"/>
      <c r="I242" s="118">
        <v>9.1530000000000005</v>
      </c>
      <c r="J242" s="118">
        <v>0.82</v>
      </c>
      <c r="K242" s="119">
        <v>6.7311329999999998</v>
      </c>
      <c r="L242" s="119">
        <v>101.091538</v>
      </c>
      <c r="M242" s="119">
        <v>6.6669362999999997</v>
      </c>
      <c r="N242" s="119">
        <v>101.060411</v>
      </c>
    </row>
    <row r="243" spans="1:14" s="24" customFormat="1">
      <c r="A243" s="68">
        <f t="shared" si="4"/>
        <v>39</v>
      </c>
      <c r="B243" s="69" t="s">
        <v>987</v>
      </c>
      <c r="C243" s="74" t="s">
        <v>1468</v>
      </c>
      <c r="D243" s="117"/>
      <c r="E243" s="69" t="s">
        <v>988</v>
      </c>
      <c r="F243" s="69" t="s">
        <v>243</v>
      </c>
      <c r="G243" s="50">
        <v>15.494</v>
      </c>
      <c r="H243" s="52">
        <v>10.968999999999999</v>
      </c>
      <c r="I243" s="52">
        <v>4.5250000000000004</v>
      </c>
      <c r="J243" s="52">
        <v>0</v>
      </c>
      <c r="K243" s="70">
        <v>6.7587950000000001</v>
      </c>
      <c r="L243" s="70">
        <v>101.477653</v>
      </c>
      <c r="M243" s="70">
        <v>6.8540789999999996</v>
      </c>
      <c r="N243" s="70">
        <v>101.489476</v>
      </c>
    </row>
    <row r="244" spans="1:14" s="24" customFormat="1">
      <c r="A244" s="68">
        <f t="shared" si="4"/>
        <v>40</v>
      </c>
      <c r="B244" s="69" t="s">
        <v>989</v>
      </c>
      <c r="C244" s="74" t="s">
        <v>1469</v>
      </c>
      <c r="D244" s="117"/>
      <c r="E244" s="69" t="s">
        <v>990</v>
      </c>
      <c r="F244" s="69" t="s">
        <v>243</v>
      </c>
      <c r="G244" s="71">
        <v>7.36</v>
      </c>
      <c r="H244" s="52">
        <v>7.36</v>
      </c>
      <c r="I244" s="52">
        <v>0</v>
      </c>
      <c r="J244" s="52">
        <v>0</v>
      </c>
      <c r="K244" s="70">
        <v>6.7587950000000001</v>
      </c>
      <c r="L244" s="70">
        <v>101.477653</v>
      </c>
      <c r="M244" s="70">
        <v>6.724723</v>
      </c>
      <c r="N244" s="70">
        <v>101.423526</v>
      </c>
    </row>
    <row r="245" spans="1:14" s="24" customFormat="1">
      <c r="A245" s="68">
        <f t="shared" si="4"/>
        <v>41</v>
      </c>
      <c r="B245" s="69" t="s">
        <v>991</v>
      </c>
      <c r="C245" s="74" t="s">
        <v>1470</v>
      </c>
      <c r="D245" s="117"/>
      <c r="E245" s="69" t="s">
        <v>971</v>
      </c>
      <c r="F245" s="69" t="s">
        <v>243</v>
      </c>
      <c r="G245" s="50">
        <v>13.157</v>
      </c>
      <c r="H245" s="52">
        <v>0</v>
      </c>
      <c r="I245" s="52">
        <v>13.157</v>
      </c>
      <c r="J245" s="52">
        <v>0</v>
      </c>
      <c r="K245" s="70">
        <v>6.8675499999999996</v>
      </c>
      <c r="L245" s="70">
        <v>101.3357</v>
      </c>
      <c r="M245" s="70">
        <v>6.8184199999999997</v>
      </c>
      <c r="N245" s="70">
        <v>101.4092</v>
      </c>
    </row>
    <row r="246" spans="1:14" s="24" customFormat="1">
      <c r="A246" s="68">
        <f t="shared" si="4"/>
        <v>42</v>
      </c>
      <c r="B246" s="69" t="s">
        <v>992</v>
      </c>
      <c r="C246" s="74" t="s">
        <v>1471</v>
      </c>
      <c r="D246" s="117"/>
      <c r="E246" s="69" t="s">
        <v>963</v>
      </c>
      <c r="F246" s="69" t="s">
        <v>243</v>
      </c>
      <c r="G246" s="71">
        <v>8.25</v>
      </c>
      <c r="H246" s="123">
        <v>0</v>
      </c>
      <c r="I246" s="71">
        <v>8.25</v>
      </c>
      <c r="J246" s="52">
        <v>0</v>
      </c>
      <c r="K246" s="70">
        <v>6.7806699999999998</v>
      </c>
      <c r="L246" s="70">
        <v>101.20283000000001</v>
      </c>
      <c r="M246" s="70">
        <v>6.8528200000000004</v>
      </c>
      <c r="N246" s="70">
        <v>101.20747</v>
      </c>
    </row>
    <row r="247" spans="1:14" s="24" customFormat="1">
      <c r="A247" s="68">
        <f t="shared" si="4"/>
        <v>43</v>
      </c>
      <c r="B247" s="69" t="s">
        <v>993</v>
      </c>
      <c r="C247" s="74" t="s">
        <v>994</v>
      </c>
      <c r="D247" s="117"/>
      <c r="E247" s="69" t="s">
        <v>971</v>
      </c>
      <c r="F247" s="69" t="s">
        <v>243</v>
      </c>
      <c r="G247" s="50">
        <v>6.7709999999999999</v>
      </c>
      <c r="H247" s="50">
        <v>2.371</v>
      </c>
      <c r="I247" s="71">
        <v>4.4000000000000004</v>
      </c>
      <c r="J247" s="52">
        <v>0</v>
      </c>
      <c r="K247" s="70">
        <v>6.8036269999999996</v>
      </c>
      <c r="L247" s="70">
        <v>101.34354999999999</v>
      </c>
      <c r="M247" s="70">
        <v>6.7816380000000001</v>
      </c>
      <c r="N247" s="70">
        <v>101.397795</v>
      </c>
    </row>
    <row r="248" spans="1:14" s="24" customFormat="1">
      <c r="A248" s="68">
        <f t="shared" si="4"/>
        <v>44</v>
      </c>
      <c r="B248" s="72" t="s">
        <v>995</v>
      </c>
      <c r="C248" s="73" t="s">
        <v>1472</v>
      </c>
      <c r="D248" s="72"/>
      <c r="E248" s="72" t="s">
        <v>963</v>
      </c>
      <c r="F248" s="72" t="s">
        <v>243</v>
      </c>
      <c r="G248" s="51">
        <v>17.875</v>
      </c>
      <c r="H248" s="51"/>
      <c r="I248" s="51">
        <v>17.242999999999999</v>
      </c>
      <c r="J248" s="51">
        <v>0.63200000000000001</v>
      </c>
      <c r="K248" s="73">
        <v>6.8173199999999996</v>
      </c>
      <c r="L248" s="73">
        <v>101.07662999999999</v>
      </c>
      <c r="M248" s="73">
        <v>6.8334400000000004</v>
      </c>
      <c r="N248" s="73">
        <v>101.1673</v>
      </c>
    </row>
    <row r="249" spans="1:14" s="24" customFormat="1">
      <c r="A249" s="68">
        <f t="shared" si="4"/>
        <v>45</v>
      </c>
      <c r="B249" s="72" t="s">
        <v>996</v>
      </c>
      <c r="C249" s="73" t="s">
        <v>1473</v>
      </c>
      <c r="D249" s="72"/>
      <c r="E249" s="72" t="s">
        <v>997</v>
      </c>
      <c r="F249" s="72" t="s">
        <v>243</v>
      </c>
      <c r="G249" s="52">
        <v>10.272</v>
      </c>
      <c r="H249" s="52"/>
      <c r="I249" s="52">
        <v>10.272</v>
      </c>
      <c r="J249" s="52">
        <v>0</v>
      </c>
      <c r="K249" s="70">
        <v>6.8151999999999999</v>
      </c>
      <c r="L249" s="70">
        <v>101.28407</v>
      </c>
      <c r="M249" s="70">
        <v>6.8580399999999999</v>
      </c>
      <c r="N249" s="70">
        <v>101.36237</v>
      </c>
    </row>
    <row r="250" spans="1:14" s="24" customFormat="1">
      <c r="A250" s="68">
        <f t="shared" si="4"/>
        <v>46</v>
      </c>
      <c r="B250" s="72" t="s">
        <v>998</v>
      </c>
      <c r="C250" s="73" t="s">
        <v>999</v>
      </c>
      <c r="D250" s="72"/>
      <c r="E250" s="72" t="s">
        <v>1000</v>
      </c>
      <c r="F250" s="72" t="s">
        <v>243</v>
      </c>
      <c r="G250" s="52">
        <v>5.3579999999999997</v>
      </c>
      <c r="H250" s="52">
        <v>0</v>
      </c>
      <c r="I250" s="52">
        <v>5.3579999999999997</v>
      </c>
      <c r="J250" s="52">
        <v>0</v>
      </c>
      <c r="K250" s="74">
        <v>6.6420110000000001</v>
      </c>
      <c r="L250" s="74">
        <v>101.331706</v>
      </c>
      <c r="M250" s="74">
        <v>6.6815670000000003</v>
      </c>
      <c r="N250" s="74">
        <v>101.325869</v>
      </c>
    </row>
    <row r="251" spans="1:14" s="24" customFormat="1">
      <c r="A251" s="68">
        <f t="shared" si="4"/>
        <v>47</v>
      </c>
      <c r="B251" s="72" t="s">
        <v>1001</v>
      </c>
      <c r="C251" s="73" t="s">
        <v>1002</v>
      </c>
      <c r="D251" s="72"/>
      <c r="E251" s="72" t="s">
        <v>1000</v>
      </c>
      <c r="F251" s="72" t="s">
        <v>243</v>
      </c>
      <c r="G251" s="52">
        <v>1.4</v>
      </c>
      <c r="H251" s="52"/>
      <c r="I251" s="52">
        <v>1.4</v>
      </c>
      <c r="J251" s="52"/>
      <c r="K251" s="74">
        <v>6.7389570000000001</v>
      </c>
      <c r="L251" s="74">
        <v>101.252774</v>
      </c>
      <c r="M251" s="74">
        <v>6.748354</v>
      </c>
      <c r="N251" s="74">
        <v>101.246948</v>
      </c>
    </row>
    <row r="252" spans="1:14" s="24" customFormat="1">
      <c r="A252" s="68">
        <f t="shared" si="4"/>
        <v>48</v>
      </c>
      <c r="B252" s="72" t="s">
        <v>1003</v>
      </c>
      <c r="C252" s="73" t="s">
        <v>1004</v>
      </c>
      <c r="D252" s="72"/>
      <c r="E252" s="72" t="s">
        <v>1000</v>
      </c>
      <c r="F252" s="72" t="s">
        <v>243</v>
      </c>
      <c r="G252" s="75">
        <v>2.669</v>
      </c>
      <c r="H252" s="52">
        <v>0</v>
      </c>
      <c r="I252" s="52">
        <v>2.669</v>
      </c>
      <c r="J252" s="52">
        <v>0</v>
      </c>
      <c r="K252" s="74">
        <v>6.7519770000000001</v>
      </c>
      <c r="L252" s="74">
        <v>101.321406</v>
      </c>
      <c r="M252" s="74">
        <v>6.729304</v>
      </c>
      <c r="N252" s="74">
        <v>101.319174</v>
      </c>
    </row>
    <row r="253" spans="1:14" s="24" customFormat="1">
      <c r="A253" s="68">
        <f t="shared" si="4"/>
        <v>49</v>
      </c>
      <c r="B253" s="69" t="s">
        <v>1005</v>
      </c>
      <c r="C253" s="74" t="s">
        <v>1006</v>
      </c>
      <c r="D253" s="117" t="s">
        <v>1007</v>
      </c>
      <c r="E253" s="68" t="s">
        <v>1000</v>
      </c>
      <c r="F253" s="68" t="s">
        <v>243</v>
      </c>
      <c r="G253" s="118">
        <v>0.5</v>
      </c>
      <c r="H253" s="118"/>
      <c r="I253" s="118"/>
      <c r="J253" s="118">
        <v>0.5</v>
      </c>
      <c r="K253" s="119">
        <v>6.7907359999999999</v>
      </c>
      <c r="L253" s="119">
        <v>101.293736</v>
      </c>
      <c r="M253" s="119">
        <v>6.7925269999999998</v>
      </c>
      <c r="N253" s="119">
        <v>101.29398</v>
      </c>
    </row>
    <row r="254" spans="1:14" s="24" customFormat="1">
      <c r="A254" s="68">
        <f t="shared" si="4"/>
        <v>50</v>
      </c>
      <c r="B254" s="69" t="s">
        <v>1008</v>
      </c>
      <c r="C254" s="74" t="s">
        <v>1009</v>
      </c>
      <c r="D254" s="117" t="s">
        <v>1007</v>
      </c>
      <c r="E254" s="68" t="s">
        <v>1000</v>
      </c>
      <c r="F254" s="68" t="s">
        <v>243</v>
      </c>
      <c r="G254" s="118">
        <v>0.91500000000000004</v>
      </c>
      <c r="H254" s="118"/>
      <c r="I254" s="118"/>
      <c r="J254" s="118">
        <v>0.91500000000000004</v>
      </c>
      <c r="K254" s="119">
        <v>6.764443</v>
      </c>
      <c r="L254" s="119">
        <v>101.293736</v>
      </c>
      <c r="M254" s="119">
        <v>6.8075999999999999</v>
      </c>
      <c r="N254" s="119">
        <v>101.27780199999999</v>
      </c>
    </row>
    <row r="255" spans="1:14" s="24" customFormat="1">
      <c r="A255" s="68">
        <f t="shared" si="4"/>
        <v>51</v>
      </c>
      <c r="B255" s="69" t="s">
        <v>1010</v>
      </c>
      <c r="C255" s="74" t="s">
        <v>1011</v>
      </c>
      <c r="D255" s="117" t="s">
        <v>1012</v>
      </c>
      <c r="E255" s="68" t="s">
        <v>1000</v>
      </c>
      <c r="F255" s="68" t="s">
        <v>243</v>
      </c>
      <c r="G255" s="118">
        <v>0.45</v>
      </c>
      <c r="H255" s="118"/>
      <c r="I255" s="118"/>
      <c r="J255" s="118">
        <v>0.45</v>
      </c>
      <c r="K255" s="119">
        <v>6.8144270000000002</v>
      </c>
      <c r="L255" s="119">
        <v>101.326813</v>
      </c>
      <c r="M255" s="119">
        <v>6.8083109999999998</v>
      </c>
      <c r="N255" s="119">
        <v>101.325461</v>
      </c>
    </row>
    <row r="256" spans="1:14" s="24" customFormat="1">
      <c r="A256" s="68">
        <f t="shared" si="4"/>
        <v>52</v>
      </c>
      <c r="B256" s="69" t="s">
        <v>1045</v>
      </c>
      <c r="C256" s="124" t="s">
        <v>1046</v>
      </c>
      <c r="D256" s="117" t="s">
        <v>1047</v>
      </c>
      <c r="E256" s="68" t="s">
        <v>1048</v>
      </c>
      <c r="F256" s="68" t="s">
        <v>243</v>
      </c>
      <c r="G256" s="118">
        <v>0.87</v>
      </c>
      <c r="H256" s="118"/>
      <c r="I256" s="118"/>
      <c r="J256" s="118">
        <v>0.87</v>
      </c>
      <c r="K256" s="119">
        <v>6.6107399999999998</v>
      </c>
      <c r="L256" s="119">
        <v>101.46966999999999</v>
      </c>
      <c r="M256" s="119">
        <v>6.6110800000000003</v>
      </c>
      <c r="N256" s="119">
        <v>101.46145</v>
      </c>
    </row>
    <row r="257" spans="1:14" s="24" customFormat="1">
      <c r="A257" s="68">
        <f t="shared" si="4"/>
        <v>53</v>
      </c>
      <c r="B257" s="69" t="s">
        <v>1049</v>
      </c>
      <c r="C257" s="124" t="s">
        <v>1050</v>
      </c>
      <c r="D257" s="117" t="s">
        <v>1051</v>
      </c>
      <c r="E257" s="68" t="s">
        <v>1048</v>
      </c>
      <c r="F257" s="68" t="s">
        <v>243</v>
      </c>
      <c r="G257" s="118">
        <v>0.75</v>
      </c>
      <c r="H257" s="118"/>
      <c r="I257" s="118"/>
      <c r="J257" s="118">
        <v>0.75</v>
      </c>
      <c r="K257" s="119">
        <v>6.6268000000000002</v>
      </c>
      <c r="L257" s="119">
        <v>101.43527</v>
      </c>
      <c r="M257" s="119">
        <v>6.6324699999999996</v>
      </c>
      <c r="N257" s="119">
        <v>101.43844</v>
      </c>
    </row>
    <row r="258" spans="1:14" s="24" customFormat="1">
      <c r="A258" s="68">
        <f t="shared" si="4"/>
        <v>54</v>
      </c>
      <c r="B258" s="69" t="s">
        <v>1052</v>
      </c>
      <c r="C258" s="124" t="s">
        <v>1053</v>
      </c>
      <c r="D258" s="117" t="s">
        <v>1054</v>
      </c>
      <c r="E258" s="68" t="s">
        <v>990</v>
      </c>
      <c r="F258" s="68" t="s">
        <v>243</v>
      </c>
      <c r="G258" s="118">
        <v>0.92500000000000004</v>
      </c>
      <c r="H258" s="118"/>
      <c r="I258" s="118"/>
      <c r="J258" s="118">
        <v>0.92500000000000004</v>
      </c>
      <c r="K258" s="119">
        <v>6.7607299999999997</v>
      </c>
      <c r="L258" s="119">
        <v>101.47512</v>
      </c>
      <c r="M258" s="119">
        <v>6.7571000000000003</v>
      </c>
      <c r="N258" s="119">
        <v>101.47528</v>
      </c>
    </row>
    <row r="259" spans="1:14" s="24" customFormat="1">
      <c r="A259" s="68">
        <f t="shared" si="4"/>
        <v>55</v>
      </c>
      <c r="B259" s="69" t="s">
        <v>1055</v>
      </c>
      <c r="C259" s="117" t="s">
        <v>1056</v>
      </c>
      <c r="D259" s="117" t="s">
        <v>1057</v>
      </c>
      <c r="E259" s="68" t="s">
        <v>1058</v>
      </c>
      <c r="F259" s="68" t="s">
        <v>243</v>
      </c>
      <c r="G259" s="118">
        <v>1.01</v>
      </c>
      <c r="H259" s="118"/>
      <c r="I259" s="118"/>
      <c r="J259" s="118">
        <v>1.01</v>
      </c>
      <c r="K259" s="119">
        <v>6.5966399999999998</v>
      </c>
      <c r="L259" s="119">
        <v>101.70963</v>
      </c>
      <c r="M259" s="119">
        <v>6.59124</v>
      </c>
      <c r="N259" s="119">
        <v>101.69035</v>
      </c>
    </row>
    <row r="260" spans="1:14" s="24" customFormat="1">
      <c r="A260" s="68">
        <f t="shared" si="4"/>
        <v>56</v>
      </c>
      <c r="B260" s="69" t="s">
        <v>1059</v>
      </c>
      <c r="C260" s="117" t="s">
        <v>1060</v>
      </c>
      <c r="D260" s="117" t="s">
        <v>1061</v>
      </c>
      <c r="E260" s="68" t="s">
        <v>1058</v>
      </c>
      <c r="F260" s="68" t="s">
        <v>243</v>
      </c>
      <c r="G260" s="118">
        <v>1.25</v>
      </c>
      <c r="H260" s="118"/>
      <c r="I260" s="118"/>
      <c r="J260" s="118">
        <v>1.25</v>
      </c>
      <c r="K260" s="119">
        <v>6.6279500000000002</v>
      </c>
      <c r="L260" s="119">
        <v>101.63818000000001</v>
      </c>
      <c r="M260" s="119">
        <v>6.6341799999999997</v>
      </c>
      <c r="N260" s="119">
        <v>101.63325</v>
      </c>
    </row>
    <row r="261" spans="1:14" s="24" customFormat="1">
      <c r="A261" s="68">
        <f t="shared" si="4"/>
        <v>57</v>
      </c>
      <c r="B261" s="69" t="s">
        <v>1062</v>
      </c>
      <c r="C261" s="117" t="s">
        <v>1063</v>
      </c>
      <c r="D261" s="117" t="s">
        <v>1064</v>
      </c>
      <c r="E261" s="68" t="s">
        <v>1048</v>
      </c>
      <c r="F261" s="68" t="s">
        <v>243</v>
      </c>
      <c r="G261" s="118">
        <v>3.55</v>
      </c>
      <c r="H261" s="118"/>
      <c r="I261" s="118">
        <v>3.55</v>
      </c>
      <c r="J261" s="118"/>
      <c r="K261" s="119">
        <v>6.6214000000000004</v>
      </c>
      <c r="L261" s="119">
        <v>101.45504</v>
      </c>
      <c r="M261" s="119">
        <v>6.5933900000000003</v>
      </c>
      <c r="N261" s="119">
        <v>101.46025</v>
      </c>
    </row>
    <row r="262" spans="1:14" s="24" customFormat="1">
      <c r="A262" s="68">
        <f t="shared" si="4"/>
        <v>58</v>
      </c>
      <c r="B262" s="69" t="s">
        <v>1013</v>
      </c>
      <c r="C262" s="73" t="s">
        <v>1474</v>
      </c>
      <c r="D262" s="117"/>
      <c r="E262" s="69" t="s">
        <v>967</v>
      </c>
      <c r="F262" s="69" t="s">
        <v>243</v>
      </c>
      <c r="G262" s="125">
        <v>13.31</v>
      </c>
      <c r="H262" s="125"/>
      <c r="I262" s="125">
        <v>13.31</v>
      </c>
      <c r="J262" s="118"/>
      <c r="K262" s="126">
        <v>6.7367610999999998</v>
      </c>
      <c r="L262" s="126">
        <v>101.134733</v>
      </c>
      <c r="M262" s="126">
        <v>6.7850276999999997</v>
      </c>
      <c r="N262" s="126">
        <v>101.037352</v>
      </c>
    </row>
    <row r="263" spans="1:14" s="111" customFormat="1">
      <c r="A263" s="95">
        <f t="shared" si="4"/>
        <v>59</v>
      </c>
      <c r="B263" s="127"/>
      <c r="C263" s="128"/>
      <c r="D263" s="128"/>
      <c r="E263" s="129"/>
      <c r="F263" s="127"/>
      <c r="G263" s="130"/>
      <c r="H263" s="131"/>
      <c r="I263" s="132"/>
      <c r="J263" s="131"/>
      <c r="K263" s="133"/>
      <c r="L263" s="133"/>
      <c r="M263" s="133"/>
      <c r="N263" s="133"/>
    </row>
    <row r="264" spans="1:14">
      <c r="A264" s="2965" t="s">
        <v>28</v>
      </c>
      <c r="B264" s="2966"/>
      <c r="C264" s="2966"/>
      <c r="D264" s="2966"/>
      <c r="E264" s="2966"/>
      <c r="F264" s="2967"/>
      <c r="G264" s="53">
        <f>SUM(G207:G262)</f>
        <v>555.99499999999989</v>
      </c>
      <c r="H264" s="53">
        <f>SUM(H207:H262)</f>
        <v>40.06</v>
      </c>
      <c r="I264" s="53">
        <f>SUM(I207:I262)</f>
        <v>507.4729999999999</v>
      </c>
      <c r="J264" s="53">
        <f>SUM(J207:J262)</f>
        <v>8.4619999999999997</v>
      </c>
      <c r="K264" s="35"/>
      <c r="L264" s="35"/>
      <c r="M264" s="35"/>
      <c r="N264" s="35"/>
    </row>
    <row r="265" spans="1:14" s="48" customFormat="1" ht="21" customHeight="1">
      <c r="A265" s="2961" t="s">
        <v>722</v>
      </c>
      <c r="B265" s="2961"/>
      <c r="C265" s="2961"/>
      <c r="D265" s="2961"/>
      <c r="E265" s="2961"/>
      <c r="F265" s="2961"/>
      <c r="G265" s="2961"/>
      <c r="H265" s="2961"/>
      <c r="I265" s="2961"/>
      <c r="J265" s="2961"/>
      <c r="K265" s="2961"/>
      <c r="L265" s="2961"/>
      <c r="M265" s="2961"/>
      <c r="N265" s="2961"/>
    </row>
    <row r="266" spans="1:14" s="48" customFormat="1">
      <c r="A266" s="2962" t="s">
        <v>1065</v>
      </c>
      <c r="B266" s="2962"/>
      <c r="C266" s="2962"/>
      <c r="D266" s="2962"/>
      <c r="E266" s="2962"/>
      <c r="F266" s="2"/>
      <c r="G266" s="3"/>
      <c r="H266" s="3"/>
      <c r="I266" s="3"/>
      <c r="J266" s="3"/>
      <c r="K266" s="4"/>
      <c r="L266" s="4"/>
      <c r="M266" s="4"/>
      <c r="N266" s="4"/>
    </row>
    <row r="267" spans="1:14" s="48" customFormat="1">
      <c r="A267" s="2"/>
      <c r="B267" s="1"/>
      <c r="C267" s="1"/>
      <c r="D267" s="36"/>
      <c r="E267" s="2"/>
      <c r="F267" s="2"/>
      <c r="G267" s="2"/>
      <c r="H267" s="2"/>
      <c r="I267" s="2"/>
      <c r="J267" s="2"/>
      <c r="K267" s="37"/>
      <c r="L267" s="37"/>
      <c r="M267" s="37"/>
      <c r="N267" s="37"/>
    </row>
    <row r="268" spans="1:14" s="48" customFormat="1" ht="21" customHeight="1">
      <c r="A268" s="2963" t="s">
        <v>724</v>
      </c>
      <c r="B268" s="2963" t="s">
        <v>361</v>
      </c>
      <c r="C268" s="2963" t="s">
        <v>362</v>
      </c>
      <c r="D268" s="2964" t="s">
        <v>725</v>
      </c>
      <c r="E268" s="2963" t="s">
        <v>726</v>
      </c>
      <c r="F268" s="2963" t="s">
        <v>574</v>
      </c>
      <c r="G268" s="2963" t="s">
        <v>727</v>
      </c>
      <c r="H268" s="2963" t="s">
        <v>728</v>
      </c>
      <c r="I268" s="2963"/>
      <c r="J268" s="2963"/>
      <c r="K268" s="2968" t="s">
        <v>729</v>
      </c>
      <c r="L268" s="2969"/>
      <c r="M268" s="2969"/>
      <c r="N268" s="2970"/>
    </row>
    <row r="269" spans="1:14" s="48" customFormat="1">
      <c r="A269" s="2963"/>
      <c r="B269" s="2963"/>
      <c r="C269" s="2963"/>
      <c r="D269" s="2964"/>
      <c r="E269" s="2963"/>
      <c r="F269" s="2963"/>
      <c r="G269" s="2963"/>
      <c r="H269" s="2971" t="s">
        <v>7</v>
      </c>
      <c r="I269" s="2971" t="s">
        <v>730</v>
      </c>
      <c r="J269" s="2971" t="s">
        <v>282</v>
      </c>
      <c r="K269" s="2968" t="s">
        <v>731</v>
      </c>
      <c r="L269" s="2970"/>
      <c r="M269" s="2968" t="s">
        <v>732</v>
      </c>
      <c r="N269" s="2970"/>
    </row>
    <row r="270" spans="1:14" s="48" customFormat="1">
      <c r="A270" s="2963"/>
      <c r="B270" s="2963"/>
      <c r="C270" s="2963"/>
      <c r="D270" s="2964"/>
      <c r="E270" s="2963"/>
      <c r="F270" s="2963"/>
      <c r="G270" s="2963"/>
      <c r="H270" s="2972"/>
      <c r="I270" s="2972"/>
      <c r="J270" s="2972"/>
      <c r="K270" s="6" t="s">
        <v>733</v>
      </c>
      <c r="L270" s="6" t="s">
        <v>734</v>
      </c>
      <c r="M270" s="6" t="s">
        <v>733</v>
      </c>
      <c r="N270" s="6" t="s">
        <v>734</v>
      </c>
    </row>
    <row r="271" spans="1:14" s="11" customFormat="1" ht="20.25" customHeight="1">
      <c r="A271" s="38">
        <v>1</v>
      </c>
      <c r="B271" s="38" t="s">
        <v>1066</v>
      </c>
      <c r="C271" s="39" t="s">
        <v>1578</v>
      </c>
      <c r="D271" s="39" t="s">
        <v>1067</v>
      </c>
      <c r="E271" s="38" t="s">
        <v>769</v>
      </c>
      <c r="F271" s="38" t="s">
        <v>244</v>
      </c>
      <c r="G271" s="40">
        <v>7.69</v>
      </c>
      <c r="H271" s="40"/>
      <c r="I271" s="40">
        <v>7.69</v>
      </c>
      <c r="J271" s="40"/>
      <c r="K271" s="41">
        <v>6.55267</v>
      </c>
      <c r="L271" s="41">
        <v>101.30603000000001</v>
      </c>
      <c r="M271" s="41">
        <v>6.4899100000000001</v>
      </c>
      <c r="N271" s="41">
        <v>101.30825</v>
      </c>
    </row>
    <row r="272" spans="1:14" s="11" customFormat="1" ht="20.25" customHeight="1">
      <c r="A272" s="38">
        <v>2</v>
      </c>
      <c r="B272" s="38" t="s">
        <v>1068</v>
      </c>
      <c r="C272" s="39" t="s">
        <v>1579</v>
      </c>
      <c r="D272" s="39" t="s">
        <v>1069</v>
      </c>
      <c r="E272" s="38" t="s">
        <v>769</v>
      </c>
      <c r="F272" s="38" t="s">
        <v>244</v>
      </c>
      <c r="G272" s="40">
        <v>6.8979999999999997</v>
      </c>
      <c r="H272" s="40"/>
      <c r="I272" s="40">
        <v>6.8979999999999997</v>
      </c>
      <c r="J272" s="40"/>
      <c r="K272" s="41">
        <v>6.5472900000000003</v>
      </c>
      <c r="L272" s="41">
        <v>101.25239999999999</v>
      </c>
      <c r="M272" s="41">
        <v>6.5745500000000003</v>
      </c>
      <c r="N272" s="41">
        <v>101.19968</v>
      </c>
    </row>
    <row r="273" spans="1:14" s="11" customFormat="1" ht="20.25" customHeight="1">
      <c r="A273" s="38">
        <v>3</v>
      </c>
      <c r="B273" s="38" t="s">
        <v>1070</v>
      </c>
      <c r="C273" s="39" t="s">
        <v>1580</v>
      </c>
      <c r="D273" s="39" t="s">
        <v>1071</v>
      </c>
      <c r="E273" s="38" t="s">
        <v>1072</v>
      </c>
      <c r="F273" s="38" t="s">
        <v>244</v>
      </c>
      <c r="G273" s="49">
        <v>27.683</v>
      </c>
      <c r="H273" s="49"/>
      <c r="I273" s="49">
        <v>27.683</v>
      </c>
      <c r="J273" s="40"/>
      <c r="K273" s="41">
        <v>5.8045600000000004</v>
      </c>
      <c r="L273" s="41">
        <v>101.0711</v>
      </c>
      <c r="M273" s="41">
        <v>5.8537800000000004</v>
      </c>
      <c r="N273" s="41">
        <v>101.07151</v>
      </c>
    </row>
    <row r="274" spans="1:14" s="11" customFormat="1" ht="20.25" customHeight="1">
      <c r="A274" s="38">
        <v>4</v>
      </c>
      <c r="B274" s="38" t="s">
        <v>1073</v>
      </c>
      <c r="C274" s="39" t="s">
        <v>1581</v>
      </c>
      <c r="D274" s="39" t="s">
        <v>1074</v>
      </c>
      <c r="E274" s="38" t="s">
        <v>1075</v>
      </c>
      <c r="F274" s="38" t="s">
        <v>244</v>
      </c>
      <c r="G274" s="40">
        <v>32.200000000000003</v>
      </c>
      <c r="H274" s="49"/>
      <c r="I274" s="49">
        <v>32.200000000000003</v>
      </c>
      <c r="J274" s="40"/>
      <c r="K274" s="41">
        <v>6.2365700000000004</v>
      </c>
      <c r="L274" s="41">
        <v>101.17057</v>
      </c>
      <c r="M274" s="41">
        <v>6.3735600000000003</v>
      </c>
      <c r="N274" s="41">
        <v>101.05695</v>
      </c>
    </row>
    <row r="275" spans="1:14" s="11" customFormat="1" ht="20.25" customHeight="1">
      <c r="A275" s="38">
        <v>5</v>
      </c>
      <c r="B275" s="38" t="s">
        <v>1076</v>
      </c>
      <c r="C275" s="39" t="s">
        <v>1582</v>
      </c>
      <c r="D275" s="39" t="s">
        <v>1077</v>
      </c>
      <c r="E275" s="38" t="s">
        <v>1078</v>
      </c>
      <c r="F275" s="38" t="s">
        <v>244</v>
      </c>
      <c r="G275" s="40">
        <v>19.744</v>
      </c>
      <c r="H275" s="40"/>
      <c r="I275" s="40">
        <v>19.744</v>
      </c>
      <c r="J275" s="40"/>
      <c r="K275" s="41">
        <v>5.9214799999999999</v>
      </c>
      <c r="L275" s="41">
        <v>101.16222999999999</v>
      </c>
      <c r="M275" s="41">
        <v>6.0472400000000004</v>
      </c>
      <c r="N275" s="41">
        <v>101.17596</v>
      </c>
    </row>
    <row r="276" spans="1:14" s="11" customFormat="1" ht="20.25" customHeight="1">
      <c r="A276" s="38">
        <v>6</v>
      </c>
      <c r="B276" s="38" t="s">
        <v>1079</v>
      </c>
      <c r="C276" s="39" t="s">
        <v>1583</v>
      </c>
      <c r="D276" s="39" t="s">
        <v>1080</v>
      </c>
      <c r="E276" s="38" t="s">
        <v>1080</v>
      </c>
      <c r="F276" s="38" t="s">
        <v>244</v>
      </c>
      <c r="G276" s="40">
        <v>13.2</v>
      </c>
      <c r="H276" s="40"/>
      <c r="I276" s="40">
        <v>13.2</v>
      </c>
      <c r="J276" s="40"/>
      <c r="K276" s="41">
        <v>6.4786299999999999</v>
      </c>
      <c r="L276" s="41">
        <v>101.01947</v>
      </c>
      <c r="M276" s="41">
        <v>6.4333400000000003</v>
      </c>
      <c r="N276" s="41">
        <v>100.93691</v>
      </c>
    </row>
    <row r="277" spans="1:14" s="11" customFormat="1" ht="20.25" customHeight="1">
      <c r="A277" s="38">
        <v>7</v>
      </c>
      <c r="B277" s="38" t="s">
        <v>1081</v>
      </c>
      <c r="C277" s="39" t="s">
        <v>1584</v>
      </c>
      <c r="D277" s="39" t="s">
        <v>1082</v>
      </c>
      <c r="E277" s="38" t="s">
        <v>1083</v>
      </c>
      <c r="F277" s="38" t="s">
        <v>244</v>
      </c>
      <c r="G277" s="40">
        <v>19.324999999999999</v>
      </c>
      <c r="H277" s="40"/>
      <c r="I277" s="40">
        <v>19.324999999999999</v>
      </c>
      <c r="J277" s="40"/>
      <c r="K277" s="41">
        <v>6.2732799999999997</v>
      </c>
      <c r="L277" s="41">
        <v>101.2831</v>
      </c>
      <c r="M277" s="41">
        <v>6.3988300000000002</v>
      </c>
      <c r="N277" s="41">
        <v>101.26045999999999</v>
      </c>
    </row>
    <row r="278" spans="1:14" s="11" customFormat="1" ht="20.25" customHeight="1">
      <c r="A278" s="38">
        <v>8</v>
      </c>
      <c r="B278" s="38" t="s">
        <v>1084</v>
      </c>
      <c r="C278" s="39" t="s">
        <v>1585</v>
      </c>
      <c r="D278" s="39" t="s">
        <v>1085</v>
      </c>
      <c r="E278" s="38" t="s">
        <v>1085</v>
      </c>
      <c r="F278" s="38" t="s">
        <v>244</v>
      </c>
      <c r="G278" s="40">
        <v>7.484</v>
      </c>
      <c r="H278" s="40"/>
      <c r="I278" s="40">
        <v>7.484</v>
      </c>
      <c r="J278" s="40"/>
      <c r="K278" s="41">
        <v>6.2591799999999997</v>
      </c>
      <c r="L278" s="41">
        <v>101.25378000000001</v>
      </c>
      <c r="M278" s="41">
        <v>6.1967699999999999</v>
      </c>
      <c r="N278" s="41">
        <v>101.25903</v>
      </c>
    </row>
    <row r="279" spans="1:14" s="11" customFormat="1" ht="20.25" customHeight="1">
      <c r="A279" s="38">
        <v>9</v>
      </c>
      <c r="B279" s="38" t="s">
        <v>1086</v>
      </c>
      <c r="C279" s="39" t="s">
        <v>1586</v>
      </c>
      <c r="D279" s="54"/>
      <c r="E279" s="55" t="s">
        <v>1087</v>
      </c>
      <c r="F279" s="38" t="s">
        <v>1088</v>
      </c>
      <c r="G279" s="40">
        <v>11.811999999999999</v>
      </c>
      <c r="H279" s="40"/>
      <c r="I279" s="40">
        <v>11.811999999999999</v>
      </c>
      <c r="J279" s="40"/>
      <c r="K279" s="41">
        <v>6.3839800000000002</v>
      </c>
      <c r="L279" s="41">
        <v>101.45744999999999</v>
      </c>
      <c r="M279" s="41">
        <v>6.4760799999999996</v>
      </c>
      <c r="N279" s="41">
        <v>101.42966</v>
      </c>
    </row>
    <row r="280" spans="1:14" s="11" customFormat="1" ht="20.25" customHeight="1">
      <c r="A280" s="38">
        <v>10</v>
      </c>
      <c r="B280" s="38" t="s">
        <v>1089</v>
      </c>
      <c r="C280" s="39" t="s">
        <v>1587</v>
      </c>
      <c r="D280" s="39" t="s">
        <v>1090</v>
      </c>
      <c r="E280" s="38" t="s">
        <v>769</v>
      </c>
      <c r="F280" s="38" t="s">
        <v>244</v>
      </c>
      <c r="G280" s="40">
        <v>9.18</v>
      </c>
      <c r="H280" s="40"/>
      <c r="I280" s="40">
        <v>9.18</v>
      </c>
      <c r="J280" s="40"/>
      <c r="K280" s="41">
        <v>6.5211899999999998</v>
      </c>
      <c r="L280" s="41">
        <v>101.1772</v>
      </c>
      <c r="M280" s="41">
        <v>6.5866800000000003</v>
      </c>
      <c r="N280" s="41">
        <v>101.16880999999999</v>
      </c>
    </row>
    <row r="281" spans="1:14" s="11" customFormat="1" ht="20.25" customHeight="1">
      <c r="A281" s="38">
        <v>11</v>
      </c>
      <c r="B281" s="38" t="s">
        <v>1091</v>
      </c>
      <c r="C281" s="39" t="s">
        <v>1588</v>
      </c>
      <c r="D281" s="39" t="s">
        <v>1092</v>
      </c>
      <c r="E281" s="38" t="s">
        <v>1093</v>
      </c>
      <c r="F281" s="38" t="s">
        <v>244</v>
      </c>
      <c r="G281" s="40">
        <v>11.837999999999999</v>
      </c>
      <c r="H281" s="40"/>
      <c r="I281" s="40">
        <v>11.837999999999999</v>
      </c>
      <c r="J281" s="40"/>
      <c r="K281" s="41">
        <v>6.3970900000000004</v>
      </c>
      <c r="L281" s="41">
        <v>101.2565</v>
      </c>
      <c r="M281" s="41">
        <v>6.3298500000000004</v>
      </c>
      <c r="N281" s="41">
        <v>101.26215000000001</v>
      </c>
    </row>
    <row r="282" spans="1:14" s="11" customFormat="1" ht="20.25" customHeight="1">
      <c r="A282" s="38">
        <v>12</v>
      </c>
      <c r="B282" s="38" t="s">
        <v>1094</v>
      </c>
      <c r="C282" s="39" t="s">
        <v>1589</v>
      </c>
      <c r="D282" s="39" t="s">
        <v>1095</v>
      </c>
      <c r="E282" s="38" t="s">
        <v>1093</v>
      </c>
      <c r="F282" s="38" t="s">
        <v>244</v>
      </c>
      <c r="G282" s="40">
        <v>16.792999999999999</v>
      </c>
      <c r="H282" s="40"/>
      <c r="I282" s="40">
        <v>16.792999999999999</v>
      </c>
      <c r="J282" s="40"/>
      <c r="K282" s="41">
        <v>6.4115000000000002</v>
      </c>
      <c r="L282" s="41">
        <v>101.27907999999999</v>
      </c>
      <c r="M282" s="41">
        <v>6.36958</v>
      </c>
      <c r="N282" s="41">
        <v>101.36960000000001</v>
      </c>
    </row>
    <row r="283" spans="1:14" s="11" customFormat="1" ht="20.25" customHeight="1">
      <c r="A283" s="38">
        <v>13</v>
      </c>
      <c r="B283" s="38" t="s">
        <v>1096</v>
      </c>
      <c r="C283" s="39" t="s">
        <v>1590</v>
      </c>
      <c r="D283" s="39" t="s">
        <v>1097</v>
      </c>
      <c r="E283" s="38" t="s">
        <v>1098</v>
      </c>
      <c r="F283" s="38" t="s">
        <v>244</v>
      </c>
      <c r="G283" s="40">
        <v>10.225</v>
      </c>
      <c r="H283" s="40"/>
      <c r="I283" s="40">
        <v>10.225</v>
      </c>
      <c r="J283" s="40"/>
      <c r="K283" s="41">
        <v>6.4580399999999996</v>
      </c>
      <c r="L283" s="41">
        <v>101.34071</v>
      </c>
      <c r="M283" s="41">
        <v>6.5234399999999999</v>
      </c>
      <c r="N283" s="41">
        <v>101.31574000000001</v>
      </c>
    </row>
    <row r="284" spans="1:14" s="11" customFormat="1" ht="20.25" customHeight="1">
      <c r="A284" s="42">
        <v>14</v>
      </c>
      <c r="B284" s="42" t="s">
        <v>1099</v>
      </c>
      <c r="C284" s="43" t="s">
        <v>1591</v>
      </c>
      <c r="D284" s="43" t="s">
        <v>1100</v>
      </c>
      <c r="E284" s="42" t="s">
        <v>1101</v>
      </c>
      <c r="F284" s="42" t="s">
        <v>244</v>
      </c>
      <c r="G284" s="44">
        <v>9.5939999999999994</v>
      </c>
      <c r="H284" s="44"/>
      <c r="I284" s="44">
        <v>9.5939999999999994</v>
      </c>
      <c r="J284" s="44"/>
      <c r="K284" s="45">
        <v>6.4074400000000002</v>
      </c>
      <c r="L284" s="45">
        <v>101.36948</v>
      </c>
      <c r="M284" s="45">
        <v>6.4582600000000001</v>
      </c>
      <c r="N284" s="45">
        <v>101.33523</v>
      </c>
    </row>
    <row r="285" spans="1:14" s="11" customFormat="1" ht="20.25" customHeight="1">
      <c r="A285" s="7">
        <v>15</v>
      </c>
      <c r="B285" s="7" t="s">
        <v>1102</v>
      </c>
      <c r="C285" s="8" t="s">
        <v>1103</v>
      </c>
      <c r="D285" s="8" t="s">
        <v>1104</v>
      </c>
      <c r="E285" s="7" t="s">
        <v>1072</v>
      </c>
      <c r="F285" s="7" t="s">
        <v>244</v>
      </c>
      <c r="G285" s="9">
        <v>15.75</v>
      </c>
      <c r="H285" s="9"/>
      <c r="I285" s="9">
        <v>15.75</v>
      </c>
      <c r="J285" s="9"/>
      <c r="K285" s="10">
        <v>5.7649299999999997</v>
      </c>
      <c r="L285" s="10">
        <v>101.07966999999999</v>
      </c>
      <c r="M285" s="10">
        <v>5.7626499999999998</v>
      </c>
      <c r="N285" s="10">
        <v>101.11422</v>
      </c>
    </row>
    <row r="286" spans="1:14" s="11" customFormat="1" ht="20.25" customHeight="1">
      <c r="A286" s="38">
        <v>16</v>
      </c>
      <c r="B286" s="38" t="s">
        <v>1105</v>
      </c>
      <c r="C286" s="39" t="s">
        <v>1592</v>
      </c>
      <c r="D286" s="39" t="s">
        <v>1106</v>
      </c>
      <c r="E286" s="38" t="s">
        <v>1101</v>
      </c>
      <c r="F286" s="38" t="s">
        <v>244</v>
      </c>
      <c r="G286" s="40">
        <v>9.298</v>
      </c>
      <c r="H286" s="40"/>
      <c r="I286" s="40">
        <v>9.298</v>
      </c>
      <c r="J286" s="40"/>
      <c r="K286" s="41">
        <v>6.4685300000000003</v>
      </c>
      <c r="L286" s="41">
        <v>101.39225999999999</v>
      </c>
      <c r="M286" s="41">
        <v>6.3956299999999997</v>
      </c>
      <c r="N286" s="41">
        <v>101.37338</v>
      </c>
    </row>
    <row r="287" spans="1:14" s="11" customFormat="1" ht="20.25" customHeight="1">
      <c r="A287" s="38">
        <v>17</v>
      </c>
      <c r="B287" s="38" t="s">
        <v>1107</v>
      </c>
      <c r="C287" s="39" t="s">
        <v>1593</v>
      </c>
      <c r="D287" s="39" t="s">
        <v>1108</v>
      </c>
      <c r="E287" s="38" t="s">
        <v>1109</v>
      </c>
      <c r="F287" s="38" t="s">
        <v>244</v>
      </c>
      <c r="G287" s="40">
        <v>5.5979999999999999</v>
      </c>
      <c r="H287" s="40"/>
      <c r="I287" s="40">
        <v>5.5979999999999999</v>
      </c>
      <c r="J287" s="40"/>
      <c r="K287" s="41">
        <v>6.48109</v>
      </c>
      <c r="L287" s="41">
        <v>101.13639999999999</v>
      </c>
      <c r="M287" s="41">
        <v>6.5155700000000003</v>
      </c>
      <c r="N287" s="41">
        <v>101.15852</v>
      </c>
    </row>
    <row r="288" spans="1:14" s="11" customFormat="1" ht="20.25" customHeight="1">
      <c r="A288" s="38">
        <v>18</v>
      </c>
      <c r="B288" s="38" t="s">
        <v>1110</v>
      </c>
      <c r="C288" s="39" t="s">
        <v>1111</v>
      </c>
      <c r="D288" s="39" t="s">
        <v>1112</v>
      </c>
      <c r="E288" s="38" t="s">
        <v>1113</v>
      </c>
      <c r="F288" s="38" t="s">
        <v>244</v>
      </c>
      <c r="G288" s="40">
        <v>25.841000000000001</v>
      </c>
      <c r="H288" s="40"/>
      <c r="I288" s="40">
        <v>25.841000000000001</v>
      </c>
      <c r="J288" s="40"/>
      <c r="K288" s="41">
        <v>6.1391900000000001</v>
      </c>
      <c r="L288" s="41">
        <v>101.29778</v>
      </c>
      <c r="M288" s="41">
        <v>6.0883700000000003</v>
      </c>
      <c r="N288" s="41">
        <v>101.38048000000001</v>
      </c>
    </row>
    <row r="289" spans="1:14" s="11" customFormat="1" ht="20.25" customHeight="1">
      <c r="A289" s="38">
        <v>19</v>
      </c>
      <c r="B289" s="38" t="s">
        <v>1114</v>
      </c>
      <c r="C289" s="39" t="s">
        <v>1594</v>
      </c>
      <c r="D289" s="39" t="s">
        <v>1115</v>
      </c>
      <c r="E289" s="38" t="s">
        <v>1072</v>
      </c>
      <c r="F289" s="38" t="s">
        <v>244</v>
      </c>
      <c r="G289" s="40">
        <v>10.122999999999999</v>
      </c>
      <c r="H289" s="40"/>
      <c r="I289" s="40">
        <v>10.023</v>
      </c>
      <c r="J289" s="40">
        <v>0.1</v>
      </c>
      <c r="K289" s="41">
        <v>5.8170599999999997</v>
      </c>
      <c r="L289" s="41">
        <v>101.09729</v>
      </c>
      <c r="M289" s="41">
        <v>5.7851900000000001</v>
      </c>
      <c r="N289" s="41">
        <v>101.16046</v>
      </c>
    </row>
    <row r="290" spans="1:14" s="11" customFormat="1" ht="20.25" customHeight="1">
      <c r="A290" s="38">
        <v>20</v>
      </c>
      <c r="B290" s="38" t="s">
        <v>1116</v>
      </c>
      <c r="C290" s="39" t="s">
        <v>1595</v>
      </c>
      <c r="D290" s="39" t="s">
        <v>1071</v>
      </c>
      <c r="E290" s="38" t="s">
        <v>1072</v>
      </c>
      <c r="F290" s="38" t="s">
        <v>244</v>
      </c>
      <c r="G290" s="40">
        <v>6.9249999999999998</v>
      </c>
      <c r="H290" s="40"/>
      <c r="I290" s="40">
        <v>6.9249999999999998</v>
      </c>
      <c r="J290" s="40"/>
      <c r="K290" s="41">
        <v>5.8232400000000002</v>
      </c>
      <c r="L290" s="41">
        <v>101.11157</v>
      </c>
      <c r="M290" s="41">
        <v>5.8315200000000003</v>
      </c>
      <c r="N290" s="41">
        <v>101.16218000000001</v>
      </c>
    </row>
    <row r="291" spans="1:14" s="11" customFormat="1" ht="20.25" customHeight="1">
      <c r="A291" s="38">
        <v>21</v>
      </c>
      <c r="B291" s="38" t="s">
        <v>1117</v>
      </c>
      <c r="C291" s="39" t="s">
        <v>1118</v>
      </c>
      <c r="D291" s="39" t="s">
        <v>1072</v>
      </c>
      <c r="E291" s="38" t="s">
        <v>1072</v>
      </c>
      <c r="F291" s="38" t="s">
        <v>244</v>
      </c>
      <c r="G291" s="40">
        <v>1.48</v>
      </c>
      <c r="H291" s="40"/>
      <c r="I291" s="40"/>
      <c r="J291" s="40">
        <v>1.48</v>
      </c>
      <c r="K291" s="41">
        <v>5.7768300000000004</v>
      </c>
      <c r="L291" s="41">
        <v>101.07369</v>
      </c>
      <c r="M291" s="41">
        <v>5.7743500000000001</v>
      </c>
      <c r="N291" s="41">
        <v>101.08435</v>
      </c>
    </row>
    <row r="292" spans="1:14" s="11" customFormat="1" ht="20.25" customHeight="1">
      <c r="A292" s="38">
        <v>22</v>
      </c>
      <c r="B292" s="38" t="s">
        <v>1119</v>
      </c>
      <c r="C292" s="39" t="s">
        <v>1596</v>
      </c>
      <c r="D292" s="39" t="s">
        <v>1120</v>
      </c>
      <c r="E292" s="38" t="s">
        <v>1109</v>
      </c>
      <c r="F292" s="38" t="s">
        <v>244</v>
      </c>
      <c r="G292" s="40">
        <v>12.471</v>
      </c>
      <c r="H292" s="40"/>
      <c r="I292" s="40">
        <v>12.471</v>
      </c>
      <c r="J292" s="40"/>
      <c r="K292" s="41">
        <v>6.3674400000000002</v>
      </c>
      <c r="L292" s="41">
        <v>101.09414</v>
      </c>
      <c r="M292" s="41">
        <v>6.2821300000000004</v>
      </c>
      <c r="N292" s="41">
        <v>101.09281</v>
      </c>
    </row>
    <row r="293" spans="1:14" s="11" customFormat="1" ht="20.25" customHeight="1">
      <c r="A293" s="38">
        <v>23</v>
      </c>
      <c r="B293" s="38" t="s">
        <v>1121</v>
      </c>
      <c r="C293" s="39" t="s">
        <v>1597</v>
      </c>
      <c r="D293" s="39" t="s">
        <v>1120</v>
      </c>
      <c r="E293" s="38" t="s">
        <v>1109</v>
      </c>
      <c r="F293" s="38" t="s">
        <v>244</v>
      </c>
      <c r="G293" s="40">
        <v>6.6870000000000003</v>
      </c>
      <c r="H293" s="40"/>
      <c r="I293" s="40">
        <v>6.6870000000000003</v>
      </c>
      <c r="J293" s="40"/>
      <c r="K293" s="41">
        <v>6.4081799999999998</v>
      </c>
      <c r="L293" s="41">
        <v>101.13427</v>
      </c>
      <c r="M293" s="41">
        <v>6.3751300000000004</v>
      </c>
      <c r="N293" s="41">
        <v>101.16661000000001</v>
      </c>
    </row>
    <row r="294" spans="1:14" s="11" customFormat="1" ht="20.25" customHeight="1">
      <c r="A294" s="38">
        <v>24</v>
      </c>
      <c r="B294" s="38" t="s">
        <v>1122</v>
      </c>
      <c r="C294" s="39" t="s">
        <v>1123</v>
      </c>
      <c r="D294" s="39"/>
      <c r="E294" s="38" t="s">
        <v>1072</v>
      </c>
      <c r="F294" s="38" t="s">
        <v>244</v>
      </c>
      <c r="G294" s="40">
        <v>6.1829999999999998</v>
      </c>
      <c r="H294" s="13"/>
      <c r="I294" s="13">
        <v>6.1829999999999998</v>
      </c>
      <c r="J294" s="13"/>
      <c r="K294" s="14">
        <v>5.7881</v>
      </c>
      <c r="L294" s="14">
        <v>101.07192000000001</v>
      </c>
      <c r="M294" s="14">
        <v>5.7681199999999997</v>
      </c>
      <c r="N294" s="14">
        <v>101.0521</v>
      </c>
    </row>
    <row r="295" spans="1:14" s="11" customFormat="1" ht="20.25" customHeight="1">
      <c r="A295" s="38">
        <v>25</v>
      </c>
      <c r="B295" s="38" t="s">
        <v>1124</v>
      </c>
      <c r="C295" s="39" t="s">
        <v>1598</v>
      </c>
      <c r="D295" s="39" t="s">
        <v>1077</v>
      </c>
      <c r="E295" s="38" t="s">
        <v>1078</v>
      </c>
      <c r="F295" s="38" t="s">
        <v>244</v>
      </c>
      <c r="G295" s="40">
        <v>16.46</v>
      </c>
      <c r="H295" s="40"/>
      <c r="I295" s="40">
        <v>16.46</v>
      </c>
      <c r="J295" s="40"/>
      <c r="K295" s="41">
        <v>5.9435900000000004</v>
      </c>
      <c r="L295" s="41">
        <v>101.1895</v>
      </c>
      <c r="M295" s="41">
        <v>6.0217400000000003</v>
      </c>
      <c r="N295" s="41">
        <v>101.16139</v>
      </c>
    </row>
    <row r="296" spans="1:14" s="76" customFormat="1" ht="20.25" customHeight="1">
      <c r="A296" s="38">
        <f t="shared" ref="A296:A329" si="5">+A295+1</f>
        <v>26</v>
      </c>
      <c r="B296" s="55"/>
      <c r="C296" s="77"/>
      <c r="D296" s="77"/>
      <c r="E296" s="78"/>
      <c r="F296" s="55"/>
      <c r="G296" s="79"/>
      <c r="H296" s="15"/>
      <c r="I296" s="80"/>
      <c r="J296" s="15"/>
      <c r="K296" s="16"/>
      <c r="L296" s="16"/>
      <c r="M296" s="16"/>
      <c r="N296" s="16"/>
    </row>
    <row r="297" spans="1:14" s="81" customFormat="1" ht="20.25" customHeight="1">
      <c r="A297" s="38">
        <f t="shared" si="5"/>
        <v>27</v>
      </c>
      <c r="B297" s="55"/>
      <c r="C297" s="77"/>
      <c r="D297" s="77"/>
      <c r="E297" s="78"/>
      <c r="F297" s="55"/>
      <c r="G297" s="79"/>
      <c r="H297" s="15"/>
      <c r="I297" s="80"/>
      <c r="J297" s="15"/>
      <c r="K297" s="16"/>
      <c r="L297" s="16"/>
      <c r="M297" s="16"/>
      <c r="N297" s="16"/>
    </row>
    <row r="298" spans="1:14" s="81" customFormat="1" ht="20.25" customHeight="1">
      <c r="A298" s="38">
        <f t="shared" si="5"/>
        <v>28</v>
      </c>
      <c r="B298" s="55"/>
      <c r="C298" s="77"/>
      <c r="D298" s="77"/>
      <c r="E298" s="78"/>
      <c r="F298" s="55"/>
      <c r="G298" s="79"/>
      <c r="H298" s="15"/>
      <c r="I298" s="80"/>
      <c r="J298" s="15"/>
      <c r="K298" s="16"/>
      <c r="L298" s="16"/>
      <c r="M298" s="16"/>
      <c r="N298" s="16"/>
    </row>
    <row r="299" spans="1:14" s="81" customFormat="1" ht="20.25" customHeight="1">
      <c r="A299" s="38">
        <f t="shared" si="5"/>
        <v>29</v>
      </c>
      <c r="B299" s="55"/>
      <c r="C299" s="77"/>
      <c r="D299" s="77"/>
      <c r="E299" s="78"/>
      <c r="F299" s="55"/>
      <c r="G299" s="79"/>
      <c r="H299" s="15"/>
      <c r="I299" s="80"/>
      <c r="J299" s="15"/>
      <c r="K299" s="16"/>
      <c r="L299" s="16"/>
      <c r="M299" s="16"/>
      <c r="N299" s="16"/>
    </row>
    <row r="300" spans="1:14" s="81" customFormat="1" ht="20.25" customHeight="1">
      <c r="A300" s="38">
        <f t="shared" si="5"/>
        <v>30</v>
      </c>
      <c r="B300" s="55"/>
      <c r="C300" s="77"/>
      <c r="D300" s="77"/>
      <c r="E300" s="78"/>
      <c r="F300" s="55"/>
      <c r="G300" s="79"/>
      <c r="H300" s="15"/>
      <c r="I300" s="80"/>
      <c r="J300" s="15"/>
      <c r="K300" s="16"/>
      <c r="L300" s="16"/>
      <c r="M300" s="16"/>
      <c r="N300" s="16"/>
    </row>
    <row r="301" spans="1:14" s="81" customFormat="1" ht="20.25" customHeight="1">
      <c r="A301" s="38">
        <f t="shared" si="5"/>
        <v>31</v>
      </c>
      <c r="B301" s="55"/>
      <c r="C301" s="77"/>
      <c r="D301" s="77"/>
      <c r="E301" s="78"/>
      <c r="F301" s="55"/>
      <c r="G301" s="79"/>
      <c r="H301" s="15"/>
      <c r="I301" s="80"/>
      <c r="J301" s="15"/>
      <c r="K301" s="16"/>
      <c r="L301" s="16"/>
      <c r="M301" s="16"/>
      <c r="N301" s="16"/>
    </row>
    <row r="302" spans="1:14" s="81" customFormat="1" ht="20.25" customHeight="1">
      <c r="A302" s="38">
        <f t="shared" si="5"/>
        <v>32</v>
      </c>
      <c r="B302" s="55"/>
      <c r="C302" s="77"/>
      <c r="D302" s="77"/>
      <c r="E302" s="78"/>
      <c r="F302" s="55"/>
      <c r="G302" s="79"/>
      <c r="H302" s="15"/>
      <c r="I302" s="80"/>
      <c r="J302" s="15"/>
      <c r="K302" s="16"/>
      <c r="L302" s="16"/>
      <c r="M302" s="16"/>
      <c r="N302" s="16"/>
    </row>
    <row r="303" spans="1:14" s="81" customFormat="1" ht="20.25" customHeight="1">
      <c r="A303" s="38">
        <f t="shared" si="5"/>
        <v>33</v>
      </c>
      <c r="B303" s="55"/>
      <c r="C303" s="77"/>
      <c r="D303" s="77"/>
      <c r="E303" s="78"/>
      <c r="F303" s="55"/>
      <c r="G303" s="79"/>
      <c r="H303" s="15"/>
      <c r="I303" s="80"/>
      <c r="J303" s="15"/>
      <c r="K303" s="16"/>
      <c r="L303" s="16"/>
      <c r="M303" s="16"/>
      <c r="N303" s="16"/>
    </row>
    <row r="304" spans="1:14" s="81" customFormat="1" ht="20.25" customHeight="1">
      <c r="A304" s="38">
        <f t="shared" si="5"/>
        <v>34</v>
      </c>
      <c r="B304" s="55"/>
      <c r="C304" s="77"/>
      <c r="D304" s="77"/>
      <c r="E304" s="78"/>
      <c r="F304" s="55"/>
      <c r="G304" s="79"/>
      <c r="H304" s="15"/>
      <c r="I304" s="80"/>
      <c r="J304" s="15"/>
      <c r="K304" s="16"/>
      <c r="L304" s="16"/>
      <c r="M304" s="16"/>
      <c r="N304" s="16"/>
    </row>
    <row r="305" spans="1:14" s="81" customFormat="1" ht="20.25" customHeight="1">
      <c r="A305" s="38">
        <f t="shared" si="5"/>
        <v>35</v>
      </c>
      <c r="B305" s="55"/>
      <c r="C305" s="77"/>
      <c r="D305" s="77"/>
      <c r="E305" s="78"/>
      <c r="F305" s="55"/>
      <c r="G305" s="79"/>
      <c r="H305" s="15"/>
      <c r="I305" s="80"/>
      <c r="J305" s="15"/>
      <c r="K305" s="16"/>
      <c r="L305" s="16"/>
      <c r="M305" s="16"/>
      <c r="N305" s="16"/>
    </row>
    <row r="306" spans="1:14" s="81" customFormat="1" ht="20.25" customHeight="1">
      <c r="A306" s="38">
        <f t="shared" si="5"/>
        <v>36</v>
      </c>
      <c r="B306" s="55"/>
      <c r="C306" s="77"/>
      <c r="D306" s="77"/>
      <c r="E306" s="78"/>
      <c r="F306" s="55"/>
      <c r="G306" s="79"/>
      <c r="H306" s="15"/>
      <c r="I306" s="80"/>
      <c r="J306" s="15"/>
      <c r="K306" s="16"/>
      <c r="L306" s="16"/>
      <c r="M306" s="16"/>
      <c r="N306" s="16"/>
    </row>
    <row r="307" spans="1:14" s="81" customFormat="1" ht="20.25" customHeight="1">
      <c r="A307" s="38">
        <f t="shared" si="5"/>
        <v>37</v>
      </c>
      <c r="B307" s="55"/>
      <c r="C307" s="77"/>
      <c r="D307" s="77"/>
      <c r="E307" s="78"/>
      <c r="F307" s="55"/>
      <c r="G307" s="79"/>
      <c r="H307" s="15"/>
      <c r="I307" s="80"/>
      <c r="J307" s="15"/>
      <c r="K307" s="16"/>
      <c r="L307" s="16"/>
      <c r="M307" s="16"/>
      <c r="N307" s="16"/>
    </row>
    <row r="308" spans="1:14" s="81" customFormat="1" ht="20.25" customHeight="1">
      <c r="A308" s="38">
        <f t="shared" si="5"/>
        <v>38</v>
      </c>
      <c r="B308" s="55"/>
      <c r="C308" s="77"/>
      <c r="D308" s="77"/>
      <c r="E308" s="78"/>
      <c r="F308" s="55"/>
      <c r="G308" s="79"/>
      <c r="H308" s="15"/>
      <c r="I308" s="80"/>
      <c r="J308" s="15"/>
      <c r="K308" s="16"/>
      <c r="L308" s="16"/>
      <c r="M308" s="16"/>
      <c r="N308" s="16"/>
    </row>
    <row r="309" spans="1:14" s="81" customFormat="1" ht="20.25" customHeight="1">
      <c r="A309" s="38">
        <f t="shared" si="5"/>
        <v>39</v>
      </c>
      <c r="B309" s="55"/>
      <c r="C309" s="77"/>
      <c r="D309" s="77"/>
      <c r="E309" s="78"/>
      <c r="F309" s="55"/>
      <c r="G309" s="79"/>
      <c r="H309" s="15"/>
      <c r="I309" s="80"/>
      <c r="J309" s="15"/>
      <c r="K309" s="16"/>
      <c r="L309" s="16"/>
      <c r="M309" s="16"/>
      <c r="N309" s="16"/>
    </row>
    <row r="310" spans="1:14" s="81" customFormat="1" ht="20.25" customHeight="1">
      <c r="A310" s="38">
        <f t="shared" si="5"/>
        <v>40</v>
      </c>
      <c r="B310" s="55"/>
      <c r="C310" s="77"/>
      <c r="D310" s="77"/>
      <c r="E310" s="78"/>
      <c r="F310" s="55"/>
      <c r="G310" s="79"/>
      <c r="H310" s="15"/>
      <c r="I310" s="80"/>
      <c r="J310" s="15"/>
      <c r="K310" s="16"/>
      <c r="L310" s="16"/>
      <c r="M310" s="16"/>
      <c r="N310" s="16"/>
    </row>
    <row r="311" spans="1:14" s="81" customFormat="1" ht="20.25" customHeight="1">
      <c r="A311" s="38">
        <f t="shared" si="5"/>
        <v>41</v>
      </c>
      <c r="B311" s="55"/>
      <c r="C311" s="77"/>
      <c r="D311" s="77"/>
      <c r="E311" s="78"/>
      <c r="F311" s="55"/>
      <c r="G311" s="79"/>
      <c r="H311" s="15"/>
      <c r="I311" s="80"/>
      <c r="J311" s="15"/>
      <c r="K311" s="16"/>
      <c r="L311" s="16"/>
      <c r="M311" s="16"/>
      <c r="N311" s="16"/>
    </row>
    <row r="312" spans="1:14" s="81" customFormat="1" ht="20.25" customHeight="1">
      <c r="A312" s="38">
        <f t="shared" si="5"/>
        <v>42</v>
      </c>
      <c r="B312" s="55"/>
      <c r="C312" s="77"/>
      <c r="D312" s="77"/>
      <c r="E312" s="78"/>
      <c r="F312" s="55"/>
      <c r="G312" s="79"/>
      <c r="H312" s="15"/>
      <c r="I312" s="80"/>
      <c r="J312" s="15"/>
      <c r="K312" s="16"/>
      <c r="L312" s="16"/>
      <c r="M312" s="16"/>
      <c r="N312" s="16"/>
    </row>
    <row r="313" spans="1:14" s="81" customFormat="1" ht="20.25" customHeight="1">
      <c r="A313" s="38">
        <f t="shared" si="5"/>
        <v>43</v>
      </c>
      <c r="B313" s="55"/>
      <c r="C313" s="77"/>
      <c r="D313" s="77"/>
      <c r="E313" s="78"/>
      <c r="F313" s="55"/>
      <c r="G313" s="79"/>
      <c r="H313" s="15"/>
      <c r="I313" s="80"/>
      <c r="J313" s="15"/>
      <c r="K313" s="16"/>
      <c r="L313" s="16"/>
      <c r="M313" s="16"/>
      <c r="N313" s="16"/>
    </row>
    <row r="314" spans="1:14" s="81" customFormat="1" ht="20.25" customHeight="1">
      <c r="A314" s="38">
        <f t="shared" si="5"/>
        <v>44</v>
      </c>
      <c r="B314" s="55"/>
      <c r="C314" s="77"/>
      <c r="D314" s="77"/>
      <c r="E314" s="78"/>
      <c r="F314" s="55"/>
      <c r="G314" s="79"/>
      <c r="H314" s="15"/>
      <c r="I314" s="80"/>
      <c r="J314" s="15"/>
      <c r="K314" s="16"/>
      <c r="L314" s="16"/>
      <c r="M314" s="16"/>
      <c r="N314" s="16"/>
    </row>
    <row r="315" spans="1:14" s="81" customFormat="1" ht="20.25" customHeight="1">
      <c r="A315" s="38">
        <f t="shared" si="5"/>
        <v>45</v>
      </c>
      <c r="B315" s="55"/>
      <c r="C315" s="77"/>
      <c r="D315" s="77"/>
      <c r="E315" s="78"/>
      <c r="F315" s="55"/>
      <c r="G315" s="79"/>
      <c r="H315" s="15"/>
      <c r="I315" s="80"/>
      <c r="J315" s="15"/>
      <c r="K315" s="16"/>
      <c r="L315" s="16"/>
      <c r="M315" s="16"/>
      <c r="N315" s="16"/>
    </row>
    <row r="316" spans="1:14" s="81" customFormat="1" ht="20.25" customHeight="1">
      <c r="A316" s="38">
        <f t="shared" si="5"/>
        <v>46</v>
      </c>
      <c r="B316" s="55"/>
      <c r="C316" s="77"/>
      <c r="D316" s="77"/>
      <c r="E316" s="78"/>
      <c r="F316" s="55"/>
      <c r="G316" s="79"/>
      <c r="H316" s="15"/>
      <c r="I316" s="80"/>
      <c r="J316" s="15"/>
      <c r="K316" s="16"/>
      <c r="L316" s="16"/>
      <c r="M316" s="16"/>
      <c r="N316" s="16"/>
    </row>
    <row r="317" spans="1:14" s="81" customFormat="1">
      <c r="A317" s="38">
        <f t="shared" si="5"/>
        <v>47</v>
      </c>
      <c r="B317" s="55"/>
      <c r="C317" s="77"/>
      <c r="D317" s="77"/>
      <c r="E317" s="78"/>
      <c r="F317" s="55"/>
      <c r="G317" s="79"/>
      <c r="H317" s="15"/>
      <c r="I317" s="80"/>
      <c r="J317" s="15"/>
      <c r="K317" s="16"/>
      <c r="L317" s="16"/>
      <c r="M317" s="16"/>
      <c r="N317" s="16"/>
    </row>
    <row r="318" spans="1:14" s="81" customFormat="1">
      <c r="A318" s="38">
        <f t="shared" si="5"/>
        <v>48</v>
      </c>
      <c r="B318" s="55"/>
      <c r="C318" s="77"/>
      <c r="D318" s="77"/>
      <c r="E318" s="78"/>
      <c r="F318" s="55"/>
      <c r="G318" s="79"/>
      <c r="H318" s="15"/>
      <c r="I318" s="80"/>
      <c r="J318" s="15"/>
      <c r="K318" s="16"/>
      <c r="L318" s="16"/>
      <c r="M318" s="16"/>
      <c r="N318" s="16"/>
    </row>
    <row r="319" spans="1:14" s="81" customFormat="1">
      <c r="A319" s="38">
        <f t="shared" si="5"/>
        <v>49</v>
      </c>
      <c r="B319" s="55"/>
      <c r="C319" s="77"/>
      <c r="D319" s="77"/>
      <c r="E319" s="78"/>
      <c r="F319" s="55"/>
      <c r="G319" s="79"/>
      <c r="H319" s="15"/>
      <c r="I319" s="80"/>
      <c r="J319" s="15"/>
      <c r="K319" s="16"/>
      <c r="L319" s="16"/>
      <c r="M319" s="16"/>
      <c r="N319" s="16"/>
    </row>
    <row r="320" spans="1:14" s="81" customFormat="1">
      <c r="A320" s="38">
        <f t="shared" si="5"/>
        <v>50</v>
      </c>
      <c r="B320" s="55"/>
      <c r="C320" s="77"/>
      <c r="D320" s="77"/>
      <c r="E320" s="78"/>
      <c r="F320" s="55"/>
      <c r="G320" s="79"/>
      <c r="H320" s="15"/>
      <c r="I320" s="80"/>
      <c r="J320" s="15"/>
      <c r="K320" s="16"/>
      <c r="L320" s="16"/>
      <c r="M320" s="16"/>
      <c r="N320" s="16"/>
    </row>
    <row r="321" spans="1:14" s="81" customFormat="1">
      <c r="A321" s="38">
        <f t="shared" si="5"/>
        <v>51</v>
      </c>
      <c r="B321" s="55"/>
      <c r="C321" s="77"/>
      <c r="D321" s="77"/>
      <c r="E321" s="78"/>
      <c r="F321" s="55"/>
      <c r="G321" s="79"/>
      <c r="H321" s="15"/>
      <c r="I321" s="80"/>
      <c r="J321" s="15"/>
      <c r="K321" s="16"/>
      <c r="L321" s="16"/>
      <c r="M321" s="16"/>
      <c r="N321" s="16"/>
    </row>
    <row r="322" spans="1:14" s="81" customFormat="1">
      <c r="A322" s="38">
        <f t="shared" si="5"/>
        <v>52</v>
      </c>
      <c r="B322" s="55"/>
      <c r="C322" s="77"/>
      <c r="D322" s="77"/>
      <c r="E322" s="78"/>
      <c r="F322" s="55"/>
      <c r="G322" s="79"/>
      <c r="H322" s="15"/>
      <c r="I322" s="80"/>
      <c r="J322" s="15"/>
      <c r="K322" s="16"/>
      <c r="L322" s="16"/>
      <c r="M322" s="16"/>
      <c r="N322" s="16"/>
    </row>
    <row r="323" spans="1:14" s="81" customFormat="1">
      <c r="A323" s="38">
        <f t="shared" si="5"/>
        <v>53</v>
      </c>
      <c r="B323" s="55"/>
      <c r="C323" s="77"/>
      <c r="D323" s="77"/>
      <c r="E323" s="78"/>
      <c r="F323" s="55"/>
      <c r="G323" s="79"/>
      <c r="H323" s="15"/>
      <c r="I323" s="80"/>
      <c r="J323" s="15"/>
      <c r="K323" s="16"/>
      <c r="L323" s="16"/>
      <c r="M323" s="16"/>
      <c r="N323" s="16"/>
    </row>
    <row r="324" spans="1:14" s="81" customFormat="1">
      <c r="A324" s="38">
        <f t="shared" si="5"/>
        <v>54</v>
      </c>
      <c r="B324" s="55"/>
      <c r="C324" s="77"/>
      <c r="D324" s="77"/>
      <c r="E324" s="78"/>
      <c r="F324" s="55"/>
      <c r="G324" s="79"/>
      <c r="H324" s="15"/>
      <c r="I324" s="80"/>
      <c r="J324" s="15"/>
      <c r="K324" s="16"/>
      <c r="L324" s="16"/>
      <c r="M324" s="16"/>
      <c r="N324" s="16"/>
    </row>
    <row r="325" spans="1:14" s="81" customFormat="1">
      <c r="A325" s="38">
        <f t="shared" si="5"/>
        <v>55</v>
      </c>
      <c r="B325" s="55"/>
      <c r="C325" s="77"/>
      <c r="D325" s="77"/>
      <c r="E325" s="78"/>
      <c r="F325" s="55"/>
      <c r="G325" s="79"/>
      <c r="H325" s="15"/>
      <c r="I325" s="80"/>
      <c r="J325" s="15"/>
      <c r="K325" s="16"/>
      <c r="L325" s="16"/>
      <c r="M325" s="16"/>
      <c r="N325" s="16"/>
    </row>
    <row r="326" spans="1:14" s="81" customFormat="1">
      <c r="A326" s="38">
        <f t="shared" si="5"/>
        <v>56</v>
      </c>
      <c r="B326" s="55"/>
      <c r="C326" s="77"/>
      <c r="D326" s="77"/>
      <c r="E326" s="78"/>
      <c r="F326" s="55"/>
      <c r="G326" s="79"/>
      <c r="H326" s="15"/>
      <c r="I326" s="80"/>
      <c r="J326" s="15"/>
      <c r="K326" s="16"/>
      <c r="L326" s="16"/>
      <c r="M326" s="16"/>
      <c r="N326" s="16"/>
    </row>
    <row r="327" spans="1:14" s="81" customFormat="1">
      <c r="A327" s="38">
        <f t="shared" si="5"/>
        <v>57</v>
      </c>
      <c r="B327" s="55"/>
      <c r="C327" s="77"/>
      <c r="D327" s="77"/>
      <c r="E327" s="78"/>
      <c r="F327" s="55"/>
      <c r="G327" s="79"/>
      <c r="H327" s="15"/>
      <c r="I327" s="80"/>
      <c r="J327" s="15"/>
      <c r="K327" s="16"/>
      <c r="L327" s="16"/>
      <c r="M327" s="16"/>
      <c r="N327" s="16"/>
    </row>
    <row r="328" spans="1:14" s="81" customFormat="1">
      <c r="A328" s="38">
        <f t="shared" si="5"/>
        <v>58</v>
      </c>
      <c r="B328" s="55"/>
      <c r="C328" s="77"/>
      <c r="D328" s="77"/>
      <c r="E328" s="78"/>
      <c r="F328" s="55"/>
      <c r="G328" s="79"/>
      <c r="H328" s="15"/>
      <c r="I328" s="80"/>
      <c r="J328" s="15"/>
      <c r="K328" s="16"/>
      <c r="L328" s="16"/>
      <c r="M328" s="16"/>
      <c r="N328" s="16"/>
    </row>
    <row r="329" spans="1:14" s="86" customFormat="1">
      <c r="A329" s="38">
        <f t="shared" si="5"/>
        <v>59</v>
      </c>
      <c r="B329" s="56"/>
      <c r="C329" s="82"/>
      <c r="D329" s="82"/>
      <c r="E329" s="83"/>
      <c r="F329" s="56"/>
      <c r="G329" s="84"/>
      <c r="H329" s="57"/>
      <c r="I329" s="85"/>
      <c r="J329" s="57"/>
      <c r="K329" s="58"/>
      <c r="L329" s="58"/>
      <c r="M329" s="58"/>
      <c r="N329" s="58"/>
    </row>
    <row r="330" spans="1:14">
      <c r="A330" s="2965" t="s">
        <v>28</v>
      </c>
      <c r="B330" s="2966"/>
      <c r="C330" s="2966"/>
      <c r="D330" s="2966"/>
      <c r="E330" s="2966"/>
      <c r="F330" s="2967"/>
      <c r="G330" s="53">
        <f>SUM(G271:G295)</f>
        <v>320.48200000000003</v>
      </c>
      <c r="H330" s="53">
        <f>SUM(H271:H295)</f>
        <v>0</v>
      </c>
      <c r="I330" s="53">
        <f>SUM(I271:I295)</f>
        <v>318.90200000000004</v>
      </c>
      <c r="J330" s="53">
        <f>SUM(J271:J295)</f>
        <v>1.58</v>
      </c>
      <c r="K330" s="47"/>
      <c r="L330" s="47"/>
      <c r="M330" s="47"/>
      <c r="N330" s="47"/>
    </row>
    <row r="331" spans="1:14" s="5" customFormat="1" ht="21" customHeight="1">
      <c r="A331" s="2961" t="s">
        <v>722</v>
      </c>
      <c r="B331" s="2961"/>
      <c r="C331" s="2961"/>
      <c r="D331" s="2961"/>
      <c r="E331" s="2961"/>
      <c r="F331" s="2961"/>
      <c r="G331" s="2961"/>
      <c r="H331" s="2961"/>
      <c r="I331" s="2961"/>
      <c r="J331" s="2961"/>
      <c r="K331" s="2961"/>
      <c r="L331" s="2961"/>
      <c r="M331" s="2961"/>
      <c r="N331" s="2961"/>
    </row>
    <row r="332" spans="1:14" s="5" customFormat="1">
      <c r="A332" s="2962" t="s">
        <v>845</v>
      </c>
      <c r="B332" s="2962"/>
      <c r="C332" s="2962"/>
      <c r="D332" s="2962"/>
      <c r="E332" s="2962"/>
      <c r="F332" s="2"/>
      <c r="G332" s="3"/>
      <c r="H332" s="3"/>
      <c r="I332" s="3"/>
      <c r="J332" s="3"/>
      <c r="K332" s="4"/>
      <c r="L332" s="4"/>
      <c r="M332" s="4"/>
      <c r="N332" s="4"/>
    </row>
    <row r="333" spans="1:14" s="5" customFormat="1">
      <c r="A333" s="2"/>
      <c r="B333" s="1"/>
      <c r="C333" s="1"/>
      <c r="D333" s="36"/>
      <c r="E333" s="2"/>
      <c r="F333" s="2"/>
      <c r="G333" s="2"/>
      <c r="H333" s="2"/>
      <c r="I333" s="2"/>
      <c r="J333" s="2"/>
      <c r="K333" s="37"/>
      <c r="L333" s="37"/>
      <c r="M333" s="37"/>
      <c r="N333" s="37"/>
    </row>
    <row r="334" spans="1:14" s="5" customFormat="1" ht="21" customHeight="1">
      <c r="A334" s="2963" t="s">
        <v>724</v>
      </c>
      <c r="B334" s="2963" t="s">
        <v>361</v>
      </c>
      <c r="C334" s="2963" t="s">
        <v>362</v>
      </c>
      <c r="D334" s="2964" t="s">
        <v>725</v>
      </c>
      <c r="E334" s="2963" t="s">
        <v>726</v>
      </c>
      <c r="F334" s="2963" t="s">
        <v>574</v>
      </c>
      <c r="G334" s="2963" t="s">
        <v>727</v>
      </c>
      <c r="H334" s="2963" t="s">
        <v>728</v>
      </c>
      <c r="I334" s="2963"/>
      <c r="J334" s="2963"/>
      <c r="K334" s="2968" t="s">
        <v>729</v>
      </c>
      <c r="L334" s="2969"/>
      <c r="M334" s="2969"/>
      <c r="N334" s="2970"/>
    </row>
    <row r="335" spans="1:14" s="5" customFormat="1">
      <c r="A335" s="2963"/>
      <c r="B335" s="2963"/>
      <c r="C335" s="2963"/>
      <c r="D335" s="2964"/>
      <c r="E335" s="2963"/>
      <c r="F335" s="2963"/>
      <c r="G335" s="2963"/>
      <c r="H335" s="2971" t="s">
        <v>7</v>
      </c>
      <c r="I335" s="2971" t="s">
        <v>730</v>
      </c>
      <c r="J335" s="2971" t="s">
        <v>282</v>
      </c>
      <c r="K335" s="2968" t="s">
        <v>731</v>
      </c>
      <c r="L335" s="2970"/>
      <c r="M335" s="2968" t="s">
        <v>732</v>
      </c>
      <c r="N335" s="2970"/>
    </row>
    <row r="336" spans="1:14" s="5" customFormat="1">
      <c r="A336" s="2963"/>
      <c r="B336" s="2963"/>
      <c r="C336" s="2963"/>
      <c r="D336" s="2964"/>
      <c r="E336" s="2963"/>
      <c r="F336" s="2963"/>
      <c r="G336" s="2963"/>
      <c r="H336" s="2972"/>
      <c r="I336" s="2972"/>
      <c r="J336" s="2972"/>
      <c r="K336" s="6" t="s">
        <v>733</v>
      </c>
      <c r="L336" s="6" t="s">
        <v>734</v>
      </c>
      <c r="M336" s="6" t="s">
        <v>733</v>
      </c>
      <c r="N336" s="6" t="s">
        <v>734</v>
      </c>
    </row>
    <row r="337" spans="1:14" s="24" customFormat="1">
      <c r="A337" s="88">
        <v>1</v>
      </c>
      <c r="B337" s="88" t="s">
        <v>846</v>
      </c>
      <c r="C337" s="91" t="s">
        <v>1550</v>
      </c>
      <c r="D337" s="90" t="s">
        <v>847</v>
      </c>
      <c r="E337" s="88" t="s">
        <v>848</v>
      </c>
      <c r="F337" s="88" t="s">
        <v>245</v>
      </c>
      <c r="G337" s="92">
        <v>6</v>
      </c>
      <c r="H337" s="92"/>
      <c r="I337" s="92">
        <v>6</v>
      </c>
      <c r="J337" s="92"/>
      <c r="K337" s="93">
        <v>6.2925630000000004</v>
      </c>
      <c r="L337" s="93">
        <v>101.78756</v>
      </c>
      <c r="M337" s="93">
        <v>6.2959759999999996</v>
      </c>
      <c r="N337" s="93">
        <v>101.73605999999999</v>
      </c>
    </row>
    <row r="338" spans="1:14" s="24" customFormat="1">
      <c r="A338" s="88">
        <v>2</v>
      </c>
      <c r="B338" s="88" t="s">
        <v>849</v>
      </c>
      <c r="C338" s="91" t="s">
        <v>1551</v>
      </c>
      <c r="D338" s="90" t="s">
        <v>850</v>
      </c>
      <c r="E338" s="88" t="s">
        <v>851</v>
      </c>
      <c r="F338" s="88" t="s">
        <v>245</v>
      </c>
      <c r="G338" s="92">
        <v>12.595000000000001</v>
      </c>
      <c r="H338" s="92"/>
      <c r="I338" s="92">
        <v>12.595000000000001</v>
      </c>
      <c r="J338" s="92"/>
      <c r="K338" s="94">
        <v>6.2659450000000003</v>
      </c>
      <c r="L338" s="94">
        <v>101.76249</v>
      </c>
      <c r="M338" s="94">
        <v>6.1707210000000003</v>
      </c>
      <c r="N338" s="94">
        <v>101.82944000000001</v>
      </c>
    </row>
    <row r="339" spans="1:14" s="24" customFormat="1">
      <c r="A339" s="88">
        <v>3</v>
      </c>
      <c r="B339" s="88" t="s">
        <v>852</v>
      </c>
      <c r="C339" s="91" t="s">
        <v>1552</v>
      </c>
      <c r="D339" s="90" t="s">
        <v>853</v>
      </c>
      <c r="E339" s="88" t="s">
        <v>854</v>
      </c>
      <c r="F339" s="88" t="s">
        <v>245</v>
      </c>
      <c r="G339" s="92">
        <v>7.3230000000000004</v>
      </c>
      <c r="H339" s="92"/>
      <c r="I339" s="92">
        <v>7.3230000000000004</v>
      </c>
      <c r="J339" s="92"/>
      <c r="K339" s="94">
        <v>6.402094</v>
      </c>
      <c r="L339" s="94">
        <v>101.74807</v>
      </c>
      <c r="M339" s="94">
        <v>6.3434699999999999</v>
      </c>
      <c r="N339" s="94">
        <v>101.77176</v>
      </c>
    </row>
    <row r="340" spans="1:14" s="24" customFormat="1">
      <c r="A340" s="88">
        <v>4</v>
      </c>
      <c r="B340" s="88" t="s">
        <v>855</v>
      </c>
      <c r="C340" s="91" t="s">
        <v>1553</v>
      </c>
      <c r="D340" s="90" t="s">
        <v>856</v>
      </c>
      <c r="E340" s="88" t="s">
        <v>857</v>
      </c>
      <c r="F340" s="88" t="s">
        <v>245</v>
      </c>
      <c r="G340" s="92">
        <v>11.74</v>
      </c>
      <c r="H340" s="92"/>
      <c r="I340" s="92">
        <v>11.74</v>
      </c>
      <c r="J340" s="92"/>
      <c r="K340" s="94">
        <v>6.5400850000000004</v>
      </c>
      <c r="L340" s="94">
        <v>101.64499000000001</v>
      </c>
      <c r="M340" s="94">
        <v>6.5578200000000004</v>
      </c>
      <c r="N340" s="94">
        <v>101.69117</v>
      </c>
    </row>
    <row r="341" spans="1:14" s="24" customFormat="1">
      <c r="A341" s="88">
        <v>5</v>
      </c>
      <c r="B341" s="88" t="s">
        <v>858</v>
      </c>
      <c r="C341" s="91" t="s">
        <v>1554</v>
      </c>
      <c r="D341" s="90" t="s">
        <v>859</v>
      </c>
      <c r="E341" s="88" t="s">
        <v>769</v>
      </c>
      <c r="F341" s="88" t="s">
        <v>245</v>
      </c>
      <c r="G341" s="92">
        <v>14.56</v>
      </c>
      <c r="H341" s="92"/>
      <c r="I341" s="92">
        <v>14.56</v>
      </c>
      <c r="J341" s="92"/>
      <c r="K341" s="94">
        <v>6.4157409999999997</v>
      </c>
      <c r="L341" s="94">
        <v>101.84502000000001</v>
      </c>
      <c r="M341" s="94">
        <v>6.3511699999999998</v>
      </c>
      <c r="N341" s="94">
        <v>101.87447</v>
      </c>
    </row>
    <row r="342" spans="1:14" s="24" customFormat="1">
      <c r="A342" s="88">
        <v>6</v>
      </c>
      <c r="B342" s="88" t="s">
        <v>860</v>
      </c>
      <c r="C342" s="91" t="s">
        <v>1555</v>
      </c>
      <c r="D342" s="90" t="s">
        <v>861</v>
      </c>
      <c r="E342" s="88" t="s">
        <v>862</v>
      </c>
      <c r="F342" s="88" t="s">
        <v>245</v>
      </c>
      <c r="G342" s="92">
        <v>13.36</v>
      </c>
      <c r="H342" s="92"/>
      <c r="I342" s="92">
        <v>13.36</v>
      </c>
      <c r="J342" s="92"/>
      <c r="K342" s="94">
        <v>6.2939280000000002</v>
      </c>
      <c r="L342" s="94">
        <v>101.50895</v>
      </c>
      <c r="M342" s="94">
        <v>6.3519379999999996</v>
      </c>
      <c r="N342" s="94">
        <v>101.57761000000001</v>
      </c>
    </row>
    <row r="343" spans="1:14" s="24" customFormat="1">
      <c r="A343" s="88">
        <v>7</v>
      </c>
      <c r="B343" s="88" t="s">
        <v>863</v>
      </c>
      <c r="C343" s="91" t="s">
        <v>1556</v>
      </c>
      <c r="D343" s="90" t="s">
        <v>864</v>
      </c>
      <c r="E343" s="88" t="s">
        <v>769</v>
      </c>
      <c r="F343" s="88" t="s">
        <v>245</v>
      </c>
      <c r="G343" s="92">
        <v>24.568999999999999</v>
      </c>
      <c r="H343" s="92"/>
      <c r="I343" s="92">
        <v>24.568999999999999</v>
      </c>
      <c r="J343" s="92"/>
      <c r="K343" s="94">
        <v>6.4848879999999998</v>
      </c>
      <c r="L343" s="94">
        <v>101.78024000000001</v>
      </c>
      <c r="M343" s="94">
        <v>6.4126070000000004</v>
      </c>
      <c r="N343" s="94">
        <v>101.8074</v>
      </c>
    </row>
    <row r="344" spans="1:14" s="24" customFormat="1">
      <c r="A344" s="88">
        <v>8</v>
      </c>
      <c r="B344" s="88" t="s">
        <v>865</v>
      </c>
      <c r="C344" s="91" t="s">
        <v>1557</v>
      </c>
      <c r="D344" s="90" t="s">
        <v>866</v>
      </c>
      <c r="E344" s="88" t="s">
        <v>848</v>
      </c>
      <c r="F344" s="88" t="s">
        <v>245</v>
      </c>
      <c r="G344" s="92">
        <v>5.1059999999999999</v>
      </c>
      <c r="H344" s="92"/>
      <c r="I344" s="92">
        <v>5.1059999999999999</v>
      </c>
      <c r="J344" s="92"/>
      <c r="K344" s="94">
        <v>6.2645239999999998</v>
      </c>
      <c r="L344" s="94">
        <v>101.76559</v>
      </c>
      <c r="M344" s="94">
        <v>6.29589</v>
      </c>
      <c r="N344" s="94">
        <v>101.7363</v>
      </c>
    </row>
    <row r="345" spans="1:14" s="24" customFormat="1">
      <c r="A345" s="88">
        <v>9</v>
      </c>
      <c r="B345" s="88" t="s">
        <v>867</v>
      </c>
      <c r="C345" s="91" t="s">
        <v>1558</v>
      </c>
      <c r="D345" s="90" t="s">
        <v>868</v>
      </c>
      <c r="E345" s="88" t="s">
        <v>769</v>
      </c>
      <c r="F345" s="88" t="s">
        <v>245</v>
      </c>
      <c r="G345" s="92">
        <v>6.633</v>
      </c>
      <c r="H345" s="92"/>
      <c r="I345" s="92">
        <v>6.633</v>
      </c>
      <c r="J345" s="92"/>
      <c r="K345" s="94">
        <v>6.404909</v>
      </c>
      <c r="L345" s="94">
        <v>101.8706</v>
      </c>
      <c r="M345" s="94">
        <v>6.3509140000000004</v>
      </c>
      <c r="N345" s="94">
        <v>101.87455</v>
      </c>
    </row>
    <row r="346" spans="1:14" s="24" customFormat="1">
      <c r="A346" s="88">
        <v>10</v>
      </c>
      <c r="B346" s="88" t="s">
        <v>869</v>
      </c>
      <c r="C346" s="91" t="s">
        <v>1559</v>
      </c>
      <c r="D346" s="90" t="s">
        <v>870</v>
      </c>
      <c r="E346" s="88" t="s">
        <v>871</v>
      </c>
      <c r="F346" s="88" t="s">
        <v>245</v>
      </c>
      <c r="G346" s="92">
        <v>22.388999999999999</v>
      </c>
      <c r="H346" s="92"/>
      <c r="I346" s="92">
        <v>22.388999999999999</v>
      </c>
      <c r="J346" s="92"/>
      <c r="K346" s="94">
        <v>5.8374769999999998</v>
      </c>
      <c r="L346" s="94">
        <v>101.89175</v>
      </c>
      <c r="M346" s="94">
        <v>5.9375400000000003</v>
      </c>
      <c r="N346" s="94">
        <v>101.88695</v>
      </c>
    </row>
    <row r="347" spans="1:14" s="24" customFormat="1">
      <c r="A347" s="88">
        <v>11</v>
      </c>
      <c r="B347" s="88" t="s">
        <v>872</v>
      </c>
      <c r="C347" s="91" t="s">
        <v>1560</v>
      </c>
      <c r="D347" s="90" t="s">
        <v>873</v>
      </c>
      <c r="E347" s="88" t="s">
        <v>874</v>
      </c>
      <c r="F347" s="88" t="s">
        <v>245</v>
      </c>
      <c r="G347" s="92">
        <v>13.875</v>
      </c>
      <c r="H347" s="92"/>
      <c r="I347" s="92">
        <v>13.875</v>
      </c>
      <c r="J347" s="92"/>
      <c r="K347" s="94">
        <v>6.171062</v>
      </c>
      <c r="L347" s="94">
        <v>101.70274999999999</v>
      </c>
      <c r="M347" s="94">
        <v>6.2850549999999998</v>
      </c>
      <c r="N347" s="94">
        <v>101.71374</v>
      </c>
    </row>
    <row r="348" spans="1:14" s="24" customFormat="1">
      <c r="A348" s="88">
        <v>12</v>
      </c>
      <c r="B348" s="88" t="s">
        <v>875</v>
      </c>
      <c r="C348" s="91" t="s">
        <v>1561</v>
      </c>
      <c r="D348" s="90" t="s">
        <v>876</v>
      </c>
      <c r="E348" s="88" t="s">
        <v>877</v>
      </c>
      <c r="F348" s="88" t="s">
        <v>245</v>
      </c>
      <c r="G348" s="92">
        <v>35.200000000000003</v>
      </c>
      <c r="H348" s="92"/>
      <c r="I348" s="92">
        <v>35.200000000000003</v>
      </c>
      <c r="J348" s="92"/>
      <c r="K348" s="94">
        <v>6.111326</v>
      </c>
      <c r="L348" s="94">
        <v>101.57899</v>
      </c>
      <c r="M348" s="94">
        <v>6.0956219999999997</v>
      </c>
      <c r="N348" s="94">
        <v>101.61847</v>
      </c>
    </row>
    <row r="349" spans="1:14" s="24" customFormat="1">
      <c r="A349" s="95">
        <v>13</v>
      </c>
      <c r="B349" s="95" t="s">
        <v>878</v>
      </c>
      <c r="C349" s="96" t="s">
        <v>1562</v>
      </c>
      <c r="D349" s="97" t="s">
        <v>879</v>
      </c>
      <c r="E349" s="95" t="s">
        <v>848</v>
      </c>
      <c r="F349" s="95" t="s">
        <v>245</v>
      </c>
      <c r="G349" s="98">
        <v>8.2509999999999994</v>
      </c>
      <c r="H349" s="98"/>
      <c r="I349" s="98">
        <v>8.2509999999999994</v>
      </c>
      <c r="J349" s="98"/>
      <c r="K349" s="99">
        <v>6.27806</v>
      </c>
      <c r="L349" s="99">
        <v>101.78854</v>
      </c>
      <c r="M349" s="99">
        <v>6.2633850000000004</v>
      </c>
      <c r="N349" s="99">
        <v>101.76322</v>
      </c>
    </row>
    <row r="350" spans="1:14" s="24" customFormat="1">
      <c r="A350" s="87">
        <v>14</v>
      </c>
      <c r="B350" s="87" t="s">
        <v>880</v>
      </c>
      <c r="C350" s="100" t="s">
        <v>1563</v>
      </c>
      <c r="D350" s="89" t="s">
        <v>881</v>
      </c>
      <c r="E350" s="87" t="s">
        <v>882</v>
      </c>
      <c r="F350" s="87" t="s">
        <v>245</v>
      </c>
      <c r="G350" s="101">
        <v>9.875</v>
      </c>
      <c r="H350" s="101"/>
      <c r="I350" s="101">
        <v>9.875</v>
      </c>
      <c r="J350" s="101"/>
      <c r="K350" s="93">
        <v>6.4525860000000002</v>
      </c>
      <c r="L350" s="93">
        <v>101.57550999999999</v>
      </c>
      <c r="M350" s="93">
        <v>6.401071</v>
      </c>
      <c r="N350" s="93">
        <v>101.52487000000001</v>
      </c>
    </row>
    <row r="351" spans="1:14" s="24" customFormat="1">
      <c r="A351" s="88">
        <v>15</v>
      </c>
      <c r="B351" s="88" t="s">
        <v>883</v>
      </c>
      <c r="C351" s="91" t="s">
        <v>1564</v>
      </c>
      <c r="D351" s="90" t="s">
        <v>884</v>
      </c>
      <c r="E351" s="88" t="s">
        <v>885</v>
      </c>
      <c r="F351" s="88" t="s">
        <v>245</v>
      </c>
      <c r="G351" s="92">
        <v>15.587999999999999</v>
      </c>
      <c r="H351" s="92"/>
      <c r="I351" s="92">
        <v>15.587999999999999</v>
      </c>
      <c r="J351" s="92"/>
      <c r="K351" s="94">
        <v>6.3334270000000004</v>
      </c>
      <c r="L351" s="94">
        <v>101.47063</v>
      </c>
      <c r="M351" s="94">
        <v>6.2232839999999996</v>
      </c>
      <c r="N351" s="94">
        <v>101.4941</v>
      </c>
    </row>
    <row r="352" spans="1:14" s="24" customFormat="1">
      <c r="A352" s="88">
        <v>16</v>
      </c>
      <c r="B352" s="88" t="s">
        <v>886</v>
      </c>
      <c r="C352" s="91" t="s">
        <v>1565</v>
      </c>
      <c r="D352" s="90" t="s">
        <v>887</v>
      </c>
      <c r="E352" s="88" t="s">
        <v>888</v>
      </c>
      <c r="F352" s="88" t="s">
        <v>245</v>
      </c>
      <c r="G352" s="92">
        <v>12.526999999999999</v>
      </c>
      <c r="H352" s="92"/>
      <c r="I352" s="92">
        <v>12.526999999999999</v>
      </c>
      <c r="J352" s="92"/>
      <c r="K352" s="94">
        <v>6.2447850000000003</v>
      </c>
      <c r="L352" s="94">
        <v>101.84584</v>
      </c>
      <c r="M352" s="94">
        <v>6.3830080000000002</v>
      </c>
      <c r="N352" s="94">
        <v>101.92368</v>
      </c>
    </row>
    <row r="353" spans="1:14" s="24" customFormat="1">
      <c r="A353" s="88">
        <v>17</v>
      </c>
      <c r="B353" s="88" t="s">
        <v>889</v>
      </c>
      <c r="C353" s="91" t="s">
        <v>1566</v>
      </c>
      <c r="D353" s="90" t="s">
        <v>890</v>
      </c>
      <c r="E353" s="88" t="s">
        <v>891</v>
      </c>
      <c r="F353" s="88" t="s">
        <v>245</v>
      </c>
      <c r="G353" s="92">
        <v>18.053999999999998</v>
      </c>
      <c r="H353" s="92"/>
      <c r="I353" s="92">
        <v>18.053999999999998</v>
      </c>
      <c r="J353" s="92"/>
      <c r="K353" s="94">
        <v>6.2354849999999997</v>
      </c>
      <c r="L353" s="94">
        <v>101.88605</v>
      </c>
      <c r="M353" s="94">
        <v>6.1440960000000002</v>
      </c>
      <c r="N353" s="94">
        <v>101.88588</v>
      </c>
    </row>
    <row r="354" spans="1:14" s="24" customFormat="1">
      <c r="A354" s="88">
        <v>18</v>
      </c>
      <c r="B354" s="88" t="s">
        <v>892</v>
      </c>
      <c r="C354" s="91" t="s">
        <v>1567</v>
      </c>
      <c r="D354" s="90" t="s">
        <v>893</v>
      </c>
      <c r="E354" s="88" t="s">
        <v>857</v>
      </c>
      <c r="F354" s="88" t="s">
        <v>245</v>
      </c>
      <c r="G354" s="92">
        <v>7.5</v>
      </c>
      <c r="H354" s="92"/>
      <c r="I354" s="92">
        <v>7.5</v>
      </c>
      <c r="J354" s="92"/>
      <c r="K354" s="94">
        <v>6.5388900000000003</v>
      </c>
      <c r="L354" s="94">
        <v>101.64542</v>
      </c>
      <c r="M354" s="94">
        <v>6.5566259999999996</v>
      </c>
      <c r="N354" s="94">
        <v>101.69177000000001</v>
      </c>
    </row>
    <row r="355" spans="1:14" s="24" customFormat="1">
      <c r="A355" s="88">
        <v>19</v>
      </c>
      <c r="B355" s="88" t="s">
        <v>894</v>
      </c>
      <c r="C355" s="91" t="s">
        <v>1568</v>
      </c>
      <c r="D355" s="90" t="s">
        <v>895</v>
      </c>
      <c r="E355" s="88" t="s">
        <v>896</v>
      </c>
      <c r="F355" s="88" t="s">
        <v>245</v>
      </c>
      <c r="G355" s="92">
        <v>7.3120000000000003</v>
      </c>
      <c r="H355" s="92"/>
      <c r="I355" s="92">
        <v>7.3120000000000003</v>
      </c>
      <c r="J355" s="92"/>
      <c r="K355" s="94">
        <v>6.3338530000000004</v>
      </c>
      <c r="L355" s="94">
        <v>101.72044</v>
      </c>
      <c r="M355" s="94">
        <v>6.3969760000000004</v>
      </c>
      <c r="N355" s="94">
        <v>101.70602</v>
      </c>
    </row>
    <row r="356" spans="1:14" s="24" customFormat="1">
      <c r="A356" s="88">
        <v>20</v>
      </c>
      <c r="B356" s="88" t="s">
        <v>897</v>
      </c>
      <c r="C356" s="91" t="s">
        <v>1569</v>
      </c>
      <c r="D356" s="90" t="s">
        <v>898</v>
      </c>
      <c r="E356" s="88" t="s">
        <v>899</v>
      </c>
      <c r="F356" s="88" t="s">
        <v>245</v>
      </c>
      <c r="G356" s="92">
        <v>5.9729999999999999</v>
      </c>
      <c r="H356" s="92"/>
      <c r="I356" s="92">
        <v>5.9729999999999999</v>
      </c>
      <c r="J356" s="92"/>
      <c r="K356" s="94">
        <v>6.0281529999999997</v>
      </c>
      <c r="L356" s="94">
        <v>101.85423</v>
      </c>
      <c r="M356" s="94">
        <v>6.048254</v>
      </c>
      <c r="N356" s="94">
        <v>101.88611</v>
      </c>
    </row>
    <row r="357" spans="1:14" s="24" customFormat="1">
      <c r="A357" s="88">
        <v>21</v>
      </c>
      <c r="B357" s="88" t="s">
        <v>900</v>
      </c>
      <c r="C357" s="91" t="s">
        <v>1570</v>
      </c>
      <c r="D357" s="90" t="s">
        <v>901</v>
      </c>
      <c r="E357" s="88" t="s">
        <v>902</v>
      </c>
      <c r="F357" s="88" t="s">
        <v>245</v>
      </c>
      <c r="G357" s="92">
        <v>19.058</v>
      </c>
      <c r="H357" s="92"/>
      <c r="I357" s="92">
        <v>19.058</v>
      </c>
      <c r="J357" s="92"/>
      <c r="K357" s="94">
        <v>6.3437489999999999</v>
      </c>
      <c r="L357" s="94">
        <v>101.88227999999999</v>
      </c>
      <c r="M357" s="94">
        <v>6.2843730000000004</v>
      </c>
      <c r="N357" s="94">
        <v>102.00608</v>
      </c>
    </row>
    <row r="358" spans="1:14" s="24" customFormat="1">
      <c r="A358" s="88">
        <v>22</v>
      </c>
      <c r="B358" s="88" t="s">
        <v>903</v>
      </c>
      <c r="C358" s="91" t="s">
        <v>1571</v>
      </c>
      <c r="D358" s="90" t="s">
        <v>904</v>
      </c>
      <c r="E358" s="88" t="s">
        <v>905</v>
      </c>
      <c r="F358" s="88" t="s">
        <v>245</v>
      </c>
      <c r="G358" s="92">
        <v>11.170999999999999</v>
      </c>
      <c r="H358" s="92"/>
      <c r="I358" s="92">
        <v>11.170999999999999</v>
      </c>
      <c r="J358" s="92"/>
      <c r="K358" s="94">
        <v>6.2376180000000003</v>
      </c>
      <c r="L358" s="94">
        <v>101.02797</v>
      </c>
      <c r="M358" s="94">
        <v>6.2852259999999998</v>
      </c>
      <c r="N358" s="94">
        <v>101.92325</v>
      </c>
    </row>
    <row r="359" spans="1:14" s="24" customFormat="1">
      <c r="A359" s="88">
        <v>23</v>
      </c>
      <c r="B359" s="88" t="s">
        <v>906</v>
      </c>
      <c r="C359" s="91" t="s">
        <v>1572</v>
      </c>
      <c r="D359" s="90" t="s">
        <v>907</v>
      </c>
      <c r="E359" s="88" t="s">
        <v>908</v>
      </c>
      <c r="F359" s="88" t="s">
        <v>245</v>
      </c>
      <c r="G359" s="92">
        <v>21.292000000000002</v>
      </c>
      <c r="H359" s="92"/>
      <c r="I359" s="92">
        <v>21.292000000000002</v>
      </c>
      <c r="J359" s="92"/>
      <c r="K359" s="94">
        <v>6.1686730000000001</v>
      </c>
      <c r="L359" s="94">
        <v>101.71263</v>
      </c>
      <c r="M359" s="94">
        <v>6.2363379999999999</v>
      </c>
      <c r="N359" s="94">
        <v>101.7985</v>
      </c>
    </row>
    <row r="360" spans="1:14" s="24" customFormat="1">
      <c r="A360" s="88">
        <v>24</v>
      </c>
      <c r="B360" s="69" t="s">
        <v>909</v>
      </c>
      <c r="C360" s="91" t="s">
        <v>1573</v>
      </c>
      <c r="D360" s="90" t="s">
        <v>910</v>
      </c>
      <c r="E360" s="88" t="s">
        <v>911</v>
      </c>
      <c r="F360" s="88" t="s">
        <v>245</v>
      </c>
      <c r="G360" s="92">
        <v>29.7</v>
      </c>
      <c r="H360" s="92"/>
      <c r="I360" s="92">
        <v>29.7</v>
      </c>
      <c r="J360" s="92"/>
      <c r="K360" s="94">
        <v>6.2898329999999998</v>
      </c>
      <c r="L360" s="94">
        <v>101.70696</v>
      </c>
      <c r="M360" s="94">
        <v>6.2128740000000002</v>
      </c>
      <c r="N360" s="94">
        <v>101.50886</v>
      </c>
    </row>
    <row r="361" spans="1:14" s="24" customFormat="1">
      <c r="A361" s="88">
        <v>25</v>
      </c>
      <c r="B361" s="88" t="s">
        <v>912</v>
      </c>
      <c r="C361" s="91" t="s">
        <v>1574</v>
      </c>
      <c r="D361" s="90" t="s">
        <v>913</v>
      </c>
      <c r="E361" s="88" t="s">
        <v>882</v>
      </c>
      <c r="F361" s="88" t="s">
        <v>245</v>
      </c>
      <c r="G361" s="92">
        <v>3.9</v>
      </c>
      <c r="H361" s="92"/>
      <c r="I361" s="92">
        <v>3.9</v>
      </c>
      <c r="J361" s="92"/>
      <c r="K361" s="94">
        <v>6.3654159999999997</v>
      </c>
      <c r="L361" s="94">
        <v>101.54302</v>
      </c>
      <c r="M361" s="94">
        <v>6.3923699999999997</v>
      </c>
      <c r="N361" s="94">
        <v>101.52157</v>
      </c>
    </row>
    <row r="362" spans="1:14" s="24" customFormat="1">
      <c r="A362" s="88">
        <v>26</v>
      </c>
      <c r="B362" s="88" t="s">
        <v>914</v>
      </c>
      <c r="C362" s="1270" t="s">
        <v>1790</v>
      </c>
      <c r="D362" s="90" t="s">
        <v>915</v>
      </c>
      <c r="E362" s="88" t="s">
        <v>915</v>
      </c>
      <c r="F362" s="88" t="s">
        <v>245</v>
      </c>
      <c r="G362" s="92">
        <v>7.3250000000000002</v>
      </c>
      <c r="H362" s="92"/>
      <c r="I362" s="92"/>
      <c r="J362" s="92">
        <v>7.3250000000000002</v>
      </c>
      <c r="K362" s="94">
        <v>6.031631</v>
      </c>
      <c r="L362" s="94">
        <v>101.97530999999999</v>
      </c>
      <c r="M362" s="94">
        <v>6.0137700000000001</v>
      </c>
      <c r="N362" s="94">
        <v>101.96518</v>
      </c>
    </row>
    <row r="363" spans="1:14" s="24" customFormat="1">
      <c r="A363" s="88">
        <v>27</v>
      </c>
      <c r="B363" s="69" t="s">
        <v>916</v>
      </c>
      <c r="C363" s="91" t="s">
        <v>917</v>
      </c>
      <c r="D363" s="90" t="s">
        <v>918</v>
      </c>
      <c r="E363" s="88" t="s">
        <v>919</v>
      </c>
      <c r="F363" s="88" t="s">
        <v>245</v>
      </c>
      <c r="G363" s="92">
        <v>7.875</v>
      </c>
      <c r="H363" s="92"/>
      <c r="I363" s="92">
        <v>7.875</v>
      </c>
      <c r="J363" s="92"/>
      <c r="K363" s="94">
        <v>6.408747</v>
      </c>
      <c r="L363" s="94">
        <v>101.76069</v>
      </c>
      <c r="M363" s="94">
        <v>6.4566800000000004</v>
      </c>
      <c r="N363" s="94">
        <v>101.78541</v>
      </c>
    </row>
    <row r="364" spans="1:14" s="24" customFormat="1">
      <c r="A364" s="88">
        <v>28</v>
      </c>
      <c r="B364" s="88" t="s">
        <v>920</v>
      </c>
      <c r="C364" s="1270" t="s">
        <v>1791</v>
      </c>
      <c r="D364" s="90" t="s">
        <v>864</v>
      </c>
      <c r="E364" s="88" t="s">
        <v>921</v>
      </c>
      <c r="F364" s="88" t="s">
        <v>245</v>
      </c>
      <c r="G364" s="92">
        <v>2.4860000000000002</v>
      </c>
      <c r="H364" s="92"/>
      <c r="I364" s="92"/>
      <c r="J364" s="92">
        <v>2.4860000000000002</v>
      </c>
      <c r="K364" s="94">
        <v>6.442437</v>
      </c>
      <c r="L364" s="94">
        <v>101.81581</v>
      </c>
      <c r="M364" s="94">
        <v>6.4229060000000002</v>
      </c>
      <c r="N364" s="94">
        <v>101.82107999999999</v>
      </c>
    </row>
    <row r="365" spans="1:14" s="24" customFormat="1">
      <c r="A365" s="88">
        <v>29</v>
      </c>
      <c r="B365" s="88" t="s">
        <v>922</v>
      </c>
      <c r="C365" s="91" t="s">
        <v>1575</v>
      </c>
      <c r="D365" s="90" t="s">
        <v>923</v>
      </c>
      <c r="E365" s="88" t="s">
        <v>924</v>
      </c>
      <c r="F365" s="88" t="s">
        <v>245</v>
      </c>
      <c r="G365" s="92">
        <v>13.25</v>
      </c>
      <c r="H365" s="92">
        <v>2.25</v>
      </c>
      <c r="I365" s="92">
        <v>11</v>
      </c>
      <c r="J365" s="92"/>
      <c r="K365" s="94">
        <v>6.2785710000000003</v>
      </c>
      <c r="L365" s="94">
        <v>101.91613</v>
      </c>
      <c r="M365" s="94">
        <v>6.1926509999999997</v>
      </c>
      <c r="N365" s="94">
        <v>101.89411</v>
      </c>
    </row>
    <row r="366" spans="1:14" s="24" customFormat="1">
      <c r="A366" s="88">
        <v>30</v>
      </c>
      <c r="B366" s="88" t="s">
        <v>925</v>
      </c>
      <c r="C366" s="90" t="s">
        <v>926</v>
      </c>
      <c r="D366" s="90" t="s">
        <v>927</v>
      </c>
      <c r="E366" s="88" t="s">
        <v>905</v>
      </c>
      <c r="F366" s="88" t="s">
        <v>245</v>
      </c>
      <c r="G366" s="92">
        <v>4.9950000000000001</v>
      </c>
      <c r="H366" s="92"/>
      <c r="I366" s="92">
        <v>4.9950000000000001</v>
      </c>
      <c r="J366" s="92"/>
      <c r="K366" s="94">
        <v>6.2219189999999998</v>
      </c>
      <c r="L366" s="94">
        <v>102.04616</v>
      </c>
      <c r="M366" s="94">
        <v>6.2098019999999998</v>
      </c>
      <c r="N366" s="94">
        <v>102.07844</v>
      </c>
    </row>
    <row r="367" spans="1:14" s="24" customFormat="1">
      <c r="A367" s="88">
        <v>31</v>
      </c>
      <c r="B367" s="102" t="s">
        <v>928</v>
      </c>
      <c r="C367" s="91" t="s">
        <v>1577</v>
      </c>
      <c r="D367" s="90" t="s">
        <v>929</v>
      </c>
      <c r="E367" s="88" t="s">
        <v>930</v>
      </c>
      <c r="F367" s="88" t="s">
        <v>245</v>
      </c>
      <c r="G367" s="92">
        <v>17.588000000000001</v>
      </c>
      <c r="H367" s="92"/>
      <c r="I367" s="92">
        <v>17.588000000000001</v>
      </c>
      <c r="J367" s="92"/>
      <c r="K367" s="94">
        <v>6.1545930000000002</v>
      </c>
      <c r="L367" s="94">
        <v>102.05762</v>
      </c>
      <c r="M367" s="94">
        <v>6.07036</v>
      </c>
      <c r="N367" s="94">
        <v>102.03522</v>
      </c>
    </row>
    <row r="368" spans="1:14" s="24" customFormat="1">
      <c r="A368" s="88">
        <v>32</v>
      </c>
      <c r="B368" s="88" t="s">
        <v>931</v>
      </c>
      <c r="C368" s="90" t="s">
        <v>932</v>
      </c>
      <c r="D368" s="90" t="s">
        <v>933</v>
      </c>
      <c r="E368" s="88" t="s">
        <v>934</v>
      </c>
      <c r="F368" s="88" t="s">
        <v>245</v>
      </c>
      <c r="G368" s="92">
        <v>6.1589999999999998</v>
      </c>
      <c r="H368" s="92"/>
      <c r="I368" s="92">
        <v>6.1589999999999998</v>
      </c>
      <c r="J368" s="92"/>
      <c r="K368" s="94">
        <v>6.1966619999999999</v>
      </c>
      <c r="L368" s="94">
        <v>102.07487</v>
      </c>
      <c r="M368" s="94">
        <v>6.1574090000000004</v>
      </c>
      <c r="N368" s="94">
        <v>102.05736</v>
      </c>
    </row>
    <row r="369" spans="1:14" s="24" customFormat="1">
      <c r="A369" s="88">
        <v>33</v>
      </c>
      <c r="B369" s="88" t="s">
        <v>935</v>
      </c>
      <c r="C369" s="90" t="s">
        <v>936</v>
      </c>
      <c r="D369" s="90" t="s">
        <v>937</v>
      </c>
      <c r="E369" s="88" t="s">
        <v>905</v>
      </c>
      <c r="F369" s="88" t="s">
        <v>245</v>
      </c>
      <c r="G369" s="92">
        <v>3.55</v>
      </c>
      <c r="H369" s="92"/>
      <c r="I369" s="92">
        <v>2.35</v>
      </c>
      <c r="J369" s="92">
        <v>1.2</v>
      </c>
      <c r="K369" s="94">
        <v>6.184374</v>
      </c>
      <c r="L369" s="94">
        <v>102.02642</v>
      </c>
      <c r="M369" s="94">
        <v>6.1545069999999997</v>
      </c>
      <c r="N369" s="94">
        <v>102.02642</v>
      </c>
    </row>
    <row r="370" spans="1:14" s="24" customFormat="1">
      <c r="A370" s="88">
        <v>34</v>
      </c>
      <c r="B370" s="88" t="s">
        <v>938</v>
      </c>
      <c r="C370" s="91" t="s">
        <v>1576</v>
      </c>
      <c r="D370" s="90" t="s">
        <v>939</v>
      </c>
      <c r="E370" s="88" t="s">
        <v>882</v>
      </c>
      <c r="F370" s="88" t="s">
        <v>245</v>
      </c>
      <c r="G370" s="92">
        <v>10.095000000000001</v>
      </c>
      <c r="H370" s="92"/>
      <c r="I370" s="92">
        <v>10.095000000000001</v>
      </c>
      <c r="J370" s="92"/>
      <c r="K370" s="94">
        <v>6.2980229999999997</v>
      </c>
      <c r="L370" s="94">
        <v>101.46595000000001</v>
      </c>
      <c r="M370" s="94">
        <v>6.3643919999999996</v>
      </c>
      <c r="N370" s="94">
        <v>101.40655</v>
      </c>
    </row>
    <row r="371" spans="1:14" s="24" customFormat="1">
      <c r="A371" s="88">
        <v>35</v>
      </c>
      <c r="B371" s="102" t="s">
        <v>940</v>
      </c>
      <c r="C371" s="90" t="s">
        <v>941</v>
      </c>
      <c r="D371" s="90" t="s">
        <v>942</v>
      </c>
      <c r="E371" s="88" t="s">
        <v>943</v>
      </c>
      <c r="F371" s="88" t="s">
        <v>245</v>
      </c>
      <c r="G371" s="92">
        <v>1</v>
      </c>
      <c r="H371" s="92"/>
      <c r="I371" s="92"/>
      <c r="J371" s="92">
        <v>1</v>
      </c>
      <c r="K371" s="94">
        <v>6.4668289999999997</v>
      </c>
      <c r="L371" s="94">
        <v>101.68692</v>
      </c>
      <c r="M371" s="94">
        <v>6.465465</v>
      </c>
      <c r="N371" s="94">
        <v>101.67782</v>
      </c>
    </row>
    <row r="372" spans="1:14" s="24" customFormat="1">
      <c r="A372" s="88">
        <v>36</v>
      </c>
      <c r="B372" s="102" t="s">
        <v>944</v>
      </c>
      <c r="C372" s="90" t="s">
        <v>945</v>
      </c>
      <c r="D372" s="90" t="s">
        <v>946</v>
      </c>
      <c r="E372" s="88" t="s">
        <v>857</v>
      </c>
      <c r="F372" s="88" t="s">
        <v>245</v>
      </c>
      <c r="G372" s="92">
        <v>1.4</v>
      </c>
      <c r="H372" s="92"/>
      <c r="I372" s="92"/>
      <c r="J372" s="92">
        <v>1.4</v>
      </c>
      <c r="K372" s="94">
        <v>6.5262690000000001</v>
      </c>
      <c r="L372" s="94">
        <v>101.68953999999999</v>
      </c>
      <c r="M372" s="94">
        <v>6.6163109999999996</v>
      </c>
      <c r="N372" s="94">
        <v>101.63941</v>
      </c>
    </row>
    <row r="373" spans="1:14" s="110" customFormat="1">
      <c r="A373" s="88">
        <f t="shared" ref="A373:A395" si="6">+A372+1</f>
        <v>37</v>
      </c>
      <c r="B373" s="103"/>
      <c r="C373" s="104"/>
      <c r="D373" s="104"/>
      <c r="E373" s="105"/>
      <c r="F373" s="103"/>
      <c r="G373" s="106"/>
      <c r="H373" s="107"/>
      <c r="I373" s="108"/>
      <c r="J373" s="107"/>
      <c r="K373" s="109"/>
      <c r="L373" s="109"/>
      <c r="M373" s="109"/>
      <c r="N373" s="109"/>
    </row>
    <row r="374" spans="1:14" s="111" customFormat="1">
      <c r="A374" s="88">
        <f t="shared" si="6"/>
        <v>38</v>
      </c>
      <c r="B374" s="103"/>
      <c r="C374" s="104"/>
      <c r="D374" s="104"/>
      <c r="E374" s="105"/>
      <c r="F374" s="103"/>
      <c r="G374" s="106"/>
      <c r="H374" s="107"/>
      <c r="I374" s="108"/>
      <c r="J374" s="107"/>
      <c r="K374" s="109"/>
      <c r="L374" s="109"/>
      <c r="M374" s="109"/>
      <c r="N374" s="109"/>
    </row>
    <row r="375" spans="1:14" s="111" customFormat="1">
      <c r="A375" s="88">
        <f t="shared" si="6"/>
        <v>39</v>
      </c>
      <c r="B375" s="103"/>
      <c r="C375" s="104"/>
      <c r="D375" s="104"/>
      <c r="E375" s="105"/>
      <c r="F375" s="103"/>
      <c r="G375" s="106"/>
      <c r="H375" s="107"/>
      <c r="I375" s="108"/>
      <c r="J375" s="107"/>
      <c r="K375" s="109"/>
      <c r="L375" s="109"/>
      <c r="M375" s="109"/>
      <c r="N375" s="109"/>
    </row>
    <row r="376" spans="1:14" s="111" customFormat="1">
      <c r="A376" s="88">
        <f t="shared" si="6"/>
        <v>40</v>
      </c>
      <c r="B376" s="103"/>
      <c r="C376" s="104"/>
      <c r="D376" s="104"/>
      <c r="E376" s="105"/>
      <c r="F376" s="103"/>
      <c r="G376" s="106"/>
      <c r="H376" s="107"/>
      <c r="I376" s="108"/>
      <c r="J376" s="107"/>
      <c r="K376" s="109"/>
      <c r="L376" s="109"/>
      <c r="M376" s="109"/>
      <c r="N376" s="109"/>
    </row>
    <row r="377" spans="1:14" s="111" customFormat="1">
      <c r="A377" s="88">
        <f t="shared" si="6"/>
        <v>41</v>
      </c>
      <c r="B377" s="103"/>
      <c r="C377" s="104"/>
      <c r="D377" s="104"/>
      <c r="E377" s="105"/>
      <c r="F377" s="103"/>
      <c r="G377" s="106"/>
      <c r="H377" s="107"/>
      <c r="I377" s="108"/>
      <c r="J377" s="107"/>
      <c r="K377" s="109"/>
      <c r="L377" s="109"/>
      <c r="M377" s="109"/>
      <c r="N377" s="109"/>
    </row>
    <row r="378" spans="1:14" s="111" customFormat="1">
      <c r="A378" s="88">
        <f t="shared" si="6"/>
        <v>42</v>
      </c>
      <c r="B378" s="103"/>
      <c r="C378" s="104"/>
      <c r="D378" s="104"/>
      <c r="E378" s="105"/>
      <c r="F378" s="103"/>
      <c r="G378" s="106"/>
      <c r="H378" s="107"/>
      <c r="I378" s="108"/>
      <c r="J378" s="107"/>
      <c r="K378" s="109"/>
      <c r="L378" s="109"/>
      <c r="M378" s="109"/>
      <c r="N378" s="109"/>
    </row>
    <row r="379" spans="1:14" s="111" customFormat="1">
      <c r="A379" s="88">
        <f t="shared" si="6"/>
        <v>43</v>
      </c>
      <c r="B379" s="103"/>
      <c r="C379" s="104"/>
      <c r="D379" s="104"/>
      <c r="E379" s="105"/>
      <c r="F379" s="103"/>
      <c r="G379" s="106"/>
      <c r="H379" s="107"/>
      <c r="I379" s="108"/>
      <c r="J379" s="107"/>
      <c r="K379" s="109"/>
      <c r="L379" s="109"/>
      <c r="M379" s="109"/>
      <c r="N379" s="109"/>
    </row>
    <row r="380" spans="1:14" s="111" customFormat="1">
      <c r="A380" s="88">
        <f t="shared" si="6"/>
        <v>44</v>
      </c>
      <c r="B380" s="103"/>
      <c r="C380" s="104"/>
      <c r="D380" s="104"/>
      <c r="E380" s="105"/>
      <c r="F380" s="103"/>
      <c r="G380" s="106"/>
      <c r="H380" s="107"/>
      <c r="I380" s="108"/>
      <c r="J380" s="107"/>
      <c r="K380" s="109"/>
      <c r="L380" s="109"/>
      <c r="M380" s="109"/>
      <c r="N380" s="109"/>
    </row>
    <row r="381" spans="1:14" s="111" customFormat="1">
      <c r="A381" s="88">
        <f t="shared" si="6"/>
        <v>45</v>
      </c>
      <c r="B381" s="103"/>
      <c r="C381" s="104"/>
      <c r="D381" s="104"/>
      <c r="E381" s="105"/>
      <c r="F381" s="103"/>
      <c r="G381" s="106"/>
      <c r="H381" s="107"/>
      <c r="I381" s="108"/>
      <c r="J381" s="107"/>
      <c r="K381" s="109"/>
      <c r="L381" s="109"/>
      <c r="M381" s="109"/>
      <c r="N381" s="109"/>
    </row>
    <row r="382" spans="1:14" s="111" customFormat="1">
      <c r="A382" s="88">
        <f t="shared" si="6"/>
        <v>46</v>
      </c>
      <c r="B382" s="103"/>
      <c r="C382" s="104"/>
      <c r="D382" s="104"/>
      <c r="E382" s="105"/>
      <c r="F382" s="103"/>
      <c r="G382" s="106"/>
      <c r="H382" s="107"/>
      <c r="I382" s="108"/>
      <c r="J382" s="107"/>
      <c r="K382" s="109"/>
      <c r="L382" s="109"/>
      <c r="M382" s="109"/>
      <c r="N382" s="109"/>
    </row>
    <row r="383" spans="1:14" s="111" customFormat="1">
      <c r="A383" s="88">
        <f t="shared" si="6"/>
        <v>47</v>
      </c>
      <c r="B383" s="103"/>
      <c r="C383" s="104"/>
      <c r="D383" s="104"/>
      <c r="E383" s="105"/>
      <c r="F383" s="103"/>
      <c r="G383" s="106"/>
      <c r="H383" s="107"/>
      <c r="I383" s="108"/>
      <c r="J383" s="107"/>
      <c r="K383" s="109"/>
      <c r="L383" s="109"/>
      <c r="M383" s="109"/>
      <c r="N383" s="109"/>
    </row>
    <row r="384" spans="1:14" s="111" customFormat="1">
      <c r="A384" s="88">
        <f t="shared" si="6"/>
        <v>48</v>
      </c>
      <c r="B384" s="103"/>
      <c r="C384" s="104"/>
      <c r="D384" s="104"/>
      <c r="E384" s="105"/>
      <c r="F384" s="103"/>
      <c r="G384" s="106"/>
      <c r="H384" s="107"/>
      <c r="I384" s="108"/>
      <c r="J384" s="107"/>
      <c r="K384" s="109"/>
      <c r="L384" s="109"/>
      <c r="M384" s="109"/>
      <c r="N384" s="109"/>
    </row>
    <row r="385" spans="1:14" s="111" customFormat="1">
      <c r="A385" s="88">
        <f t="shared" si="6"/>
        <v>49</v>
      </c>
      <c r="B385" s="103"/>
      <c r="C385" s="104"/>
      <c r="D385" s="104"/>
      <c r="E385" s="105"/>
      <c r="F385" s="103"/>
      <c r="G385" s="106"/>
      <c r="H385" s="107"/>
      <c r="I385" s="108"/>
      <c r="J385" s="107"/>
      <c r="K385" s="109"/>
      <c r="L385" s="109"/>
      <c r="M385" s="109"/>
      <c r="N385" s="109"/>
    </row>
    <row r="386" spans="1:14" s="111" customFormat="1">
      <c r="A386" s="88">
        <f t="shared" si="6"/>
        <v>50</v>
      </c>
      <c r="B386" s="103"/>
      <c r="C386" s="104"/>
      <c r="D386" s="104"/>
      <c r="E386" s="105"/>
      <c r="F386" s="103"/>
      <c r="G386" s="106"/>
      <c r="H386" s="107"/>
      <c r="I386" s="108"/>
      <c r="J386" s="107"/>
      <c r="K386" s="109"/>
      <c r="L386" s="109"/>
      <c r="M386" s="109"/>
      <c r="N386" s="109"/>
    </row>
    <row r="387" spans="1:14" s="111" customFormat="1">
      <c r="A387" s="88">
        <f t="shared" si="6"/>
        <v>51</v>
      </c>
      <c r="B387" s="103"/>
      <c r="C387" s="104"/>
      <c r="D387" s="104"/>
      <c r="E387" s="105"/>
      <c r="F387" s="103"/>
      <c r="G387" s="106"/>
      <c r="H387" s="107"/>
      <c r="I387" s="108"/>
      <c r="J387" s="107"/>
      <c r="K387" s="109"/>
      <c r="L387" s="109"/>
      <c r="M387" s="109"/>
      <c r="N387" s="109"/>
    </row>
    <row r="388" spans="1:14" s="111" customFormat="1">
      <c r="A388" s="88">
        <f t="shared" si="6"/>
        <v>52</v>
      </c>
      <c r="B388" s="103"/>
      <c r="C388" s="104"/>
      <c r="D388" s="104"/>
      <c r="E388" s="105"/>
      <c r="F388" s="103"/>
      <c r="G388" s="106"/>
      <c r="H388" s="107"/>
      <c r="I388" s="108"/>
      <c r="J388" s="107"/>
      <c r="K388" s="109"/>
      <c r="L388" s="109"/>
      <c r="M388" s="109"/>
      <c r="N388" s="109"/>
    </row>
    <row r="389" spans="1:14" s="111" customFormat="1">
      <c r="A389" s="88">
        <f t="shared" si="6"/>
        <v>53</v>
      </c>
      <c r="B389" s="103"/>
      <c r="C389" s="104"/>
      <c r="D389" s="104"/>
      <c r="E389" s="105"/>
      <c r="F389" s="103"/>
      <c r="G389" s="106"/>
      <c r="H389" s="107"/>
      <c r="I389" s="108"/>
      <c r="J389" s="107"/>
      <c r="K389" s="109"/>
      <c r="L389" s="109"/>
      <c r="M389" s="109"/>
      <c r="N389" s="109"/>
    </row>
    <row r="390" spans="1:14" s="81" customFormat="1">
      <c r="A390" s="38">
        <f t="shared" si="6"/>
        <v>54</v>
      </c>
      <c r="B390" s="55"/>
      <c r="C390" s="77"/>
      <c r="D390" s="77"/>
      <c r="E390" s="78"/>
      <c r="F390" s="55"/>
      <c r="G390" s="79"/>
      <c r="H390" s="15"/>
      <c r="I390" s="80"/>
      <c r="J390" s="15"/>
      <c r="K390" s="16"/>
      <c r="L390" s="16"/>
      <c r="M390" s="16"/>
      <c r="N390" s="16"/>
    </row>
    <row r="391" spans="1:14" s="81" customFormat="1">
      <c r="A391" s="38">
        <f t="shared" si="6"/>
        <v>55</v>
      </c>
      <c r="B391" s="55"/>
      <c r="C391" s="77"/>
      <c r="D391" s="77"/>
      <c r="E391" s="78"/>
      <c r="F391" s="55"/>
      <c r="G391" s="79"/>
      <c r="H391" s="15"/>
      <c r="I391" s="80"/>
      <c r="J391" s="15"/>
      <c r="K391" s="16"/>
      <c r="L391" s="16"/>
      <c r="M391" s="16"/>
      <c r="N391" s="16"/>
    </row>
    <row r="392" spans="1:14" s="81" customFormat="1">
      <c r="A392" s="38">
        <f t="shared" si="6"/>
        <v>56</v>
      </c>
      <c r="B392" s="55"/>
      <c r="C392" s="77"/>
      <c r="D392" s="77"/>
      <c r="E392" s="78"/>
      <c r="F392" s="55"/>
      <c r="G392" s="79"/>
      <c r="H392" s="15"/>
      <c r="I392" s="80"/>
      <c r="J392" s="15"/>
      <c r="K392" s="16"/>
      <c r="L392" s="16"/>
      <c r="M392" s="16"/>
      <c r="N392" s="16"/>
    </row>
    <row r="393" spans="1:14" s="81" customFormat="1">
      <c r="A393" s="38">
        <f t="shared" si="6"/>
        <v>57</v>
      </c>
      <c r="B393" s="55"/>
      <c r="C393" s="77"/>
      <c r="D393" s="77"/>
      <c r="E393" s="78"/>
      <c r="F393" s="55"/>
      <c r="G393" s="79"/>
      <c r="H393" s="15"/>
      <c r="I393" s="80"/>
      <c r="J393" s="15"/>
      <c r="K393" s="16"/>
      <c r="L393" s="16"/>
      <c r="M393" s="16"/>
      <c r="N393" s="16"/>
    </row>
    <row r="394" spans="1:14" s="81" customFormat="1">
      <c r="A394" s="38">
        <f t="shared" si="6"/>
        <v>58</v>
      </c>
      <c r="B394" s="55"/>
      <c r="C394" s="77"/>
      <c r="D394" s="77"/>
      <c r="E394" s="78"/>
      <c r="F394" s="55"/>
      <c r="G394" s="79"/>
      <c r="H394" s="15"/>
      <c r="I394" s="80"/>
      <c r="J394" s="15"/>
      <c r="K394" s="16"/>
      <c r="L394" s="16"/>
      <c r="M394" s="16"/>
      <c r="N394" s="16"/>
    </row>
    <row r="395" spans="1:14" s="81" customFormat="1">
      <c r="A395" s="38">
        <f t="shared" si="6"/>
        <v>59</v>
      </c>
      <c r="B395" s="55"/>
      <c r="C395" s="77"/>
      <c r="D395" s="77"/>
      <c r="E395" s="78"/>
      <c r="F395" s="55"/>
      <c r="G395" s="79"/>
      <c r="H395" s="15"/>
      <c r="I395" s="80"/>
      <c r="J395" s="15"/>
      <c r="K395" s="16"/>
      <c r="L395" s="16"/>
      <c r="M395" s="16"/>
      <c r="N395" s="16"/>
    </row>
    <row r="396" spans="1:14">
      <c r="A396" s="2965" t="s">
        <v>28</v>
      </c>
      <c r="B396" s="2966"/>
      <c r="C396" s="2966"/>
      <c r="D396" s="2966"/>
      <c r="E396" s="2966"/>
      <c r="F396" s="2967"/>
      <c r="G396" s="46">
        <f>SUM(G337:G372)</f>
        <v>419.27399999999989</v>
      </c>
      <c r="H396" s="46">
        <f>SUM(H337:H372)</f>
        <v>2.25</v>
      </c>
      <c r="I396" s="46">
        <f>SUM(I337:I372)</f>
        <v>403.61299999999994</v>
      </c>
      <c r="J396" s="46">
        <f>SUM(J337:J372)</f>
        <v>13.411</v>
      </c>
      <c r="K396" s="47"/>
      <c r="L396" s="47"/>
      <c r="M396" s="47"/>
      <c r="N396" s="47"/>
    </row>
    <row r="397" spans="1:14">
      <c r="G397" s="66" t="e">
        <f>G198+G132+G330+#REF!+G396</f>
        <v>#REF!</v>
      </c>
      <c r="H397" s="66" t="e">
        <f>H198+H132+H330+#REF!+H396</f>
        <v>#REF!</v>
      </c>
      <c r="I397" s="66" t="e">
        <f>I198+I132+I330+#REF!+I396</f>
        <v>#REF!</v>
      </c>
      <c r="J397" s="66" t="e">
        <f>J198+J132+J330+#REF!+J396</f>
        <v>#REF!</v>
      </c>
      <c r="K397" s="67"/>
      <c r="L397" s="67"/>
      <c r="M397" s="67"/>
      <c r="N397" s="67"/>
    </row>
    <row r="398" spans="1:14">
      <c r="G398" s="65"/>
      <c r="H398" s="65"/>
      <c r="I398" s="65"/>
      <c r="J398" s="65"/>
    </row>
    <row r="399" spans="1:14">
      <c r="G399" s="65"/>
      <c r="H399" s="65"/>
      <c r="I399" s="65"/>
      <c r="J399" s="65"/>
    </row>
    <row r="400" spans="1:14">
      <c r="G400" s="65"/>
      <c r="H400" s="65"/>
      <c r="I400" s="65"/>
      <c r="J400" s="65"/>
    </row>
    <row r="401" spans="7:10">
      <c r="G401" s="65"/>
      <c r="H401" s="65"/>
      <c r="I401" s="65"/>
      <c r="J401" s="65"/>
    </row>
    <row r="402" spans="7:10">
      <c r="G402" s="65"/>
      <c r="H402" s="65"/>
      <c r="I402" s="65"/>
      <c r="J402" s="65"/>
    </row>
    <row r="403" spans="7:10">
      <c r="G403" s="65"/>
      <c r="H403" s="65"/>
      <c r="I403" s="65"/>
      <c r="J403" s="65"/>
    </row>
    <row r="404" spans="7:10">
      <c r="G404" s="65"/>
      <c r="H404" s="65"/>
      <c r="I404" s="65"/>
      <c r="J404" s="65"/>
    </row>
    <row r="405" spans="7:10">
      <c r="G405" s="65"/>
      <c r="H405" s="65"/>
      <c r="I405" s="65"/>
      <c r="J405" s="65"/>
    </row>
    <row r="406" spans="7:10">
      <c r="G406" s="65"/>
      <c r="H406" s="65"/>
      <c r="I406" s="65"/>
      <c r="J406" s="65"/>
    </row>
    <row r="407" spans="7:10">
      <c r="G407" s="65"/>
      <c r="H407" s="65"/>
      <c r="I407" s="65"/>
      <c r="J407" s="65"/>
    </row>
    <row r="408" spans="7:10">
      <c r="G408" s="65"/>
      <c r="H408" s="65"/>
      <c r="I408" s="65"/>
      <c r="J408" s="65"/>
    </row>
    <row r="409" spans="7:10">
      <c r="G409" s="65"/>
      <c r="H409" s="65"/>
      <c r="I409" s="65"/>
      <c r="J409" s="65"/>
    </row>
    <row r="410" spans="7:10">
      <c r="G410" s="65"/>
      <c r="H410" s="65"/>
      <c r="I410" s="65"/>
      <c r="J410" s="65"/>
    </row>
    <row r="411" spans="7:10">
      <c r="G411" s="65"/>
      <c r="H411" s="65"/>
      <c r="I411" s="65"/>
      <c r="J411" s="65"/>
    </row>
    <row r="412" spans="7:10">
      <c r="G412" s="65"/>
      <c r="H412" s="65"/>
      <c r="I412" s="65"/>
      <c r="J412" s="65"/>
    </row>
    <row r="413" spans="7:10">
      <c r="G413" s="65"/>
      <c r="H413" s="65"/>
      <c r="I413" s="65"/>
      <c r="J413" s="65"/>
    </row>
    <row r="414" spans="7:10">
      <c r="G414" s="65"/>
      <c r="H414" s="65"/>
      <c r="I414" s="65"/>
      <c r="J414" s="65"/>
    </row>
    <row r="415" spans="7:10">
      <c r="G415" s="65"/>
      <c r="H415" s="65"/>
      <c r="I415" s="65"/>
      <c r="J415" s="65"/>
    </row>
    <row r="416" spans="7:10">
      <c r="G416" s="65"/>
      <c r="H416" s="65"/>
      <c r="I416" s="65"/>
      <c r="J416" s="65"/>
    </row>
    <row r="417" spans="2:14">
      <c r="G417" s="65"/>
      <c r="H417" s="65"/>
      <c r="I417" s="65"/>
    </row>
    <row r="418" spans="2:14" s="2" customFormat="1">
      <c r="B418" s="1"/>
      <c r="C418" s="1"/>
      <c r="D418" s="36"/>
      <c r="G418" s="65"/>
      <c r="H418" s="65"/>
      <c r="I418" s="65"/>
      <c r="K418" s="37"/>
      <c r="L418" s="37"/>
      <c r="M418" s="37"/>
      <c r="N418" s="37"/>
    </row>
    <row r="419" spans="2:14" s="2" customFormat="1">
      <c r="B419" s="1"/>
      <c r="C419" s="1"/>
      <c r="D419" s="36"/>
      <c r="G419" s="65"/>
      <c r="H419" s="65"/>
      <c r="I419" s="65"/>
      <c r="K419" s="37"/>
      <c r="L419" s="37"/>
      <c r="M419" s="37"/>
      <c r="N419" s="37"/>
    </row>
    <row r="420" spans="2:14" s="2" customFormat="1">
      <c r="B420" s="1"/>
      <c r="C420" s="1"/>
      <c r="D420" s="36"/>
      <c r="G420" s="65"/>
      <c r="H420" s="65"/>
      <c r="I420" s="65"/>
      <c r="K420" s="37"/>
      <c r="L420" s="37"/>
      <c r="M420" s="37"/>
      <c r="N420" s="37"/>
    </row>
    <row r="421" spans="2:14" s="2" customFormat="1">
      <c r="B421" s="1"/>
      <c r="C421" s="1"/>
      <c r="D421" s="36"/>
      <c r="G421" s="65"/>
      <c r="H421" s="65"/>
      <c r="I421" s="65"/>
      <c r="K421" s="37"/>
      <c r="L421" s="37"/>
      <c r="M421" s="37"/>
      <c r="N421" s="37"/>
    </row>
    <row r="422" spans="2:14" s="2" customFormat="1">
      <c r="B422" s="1"/>
      <c r="C422" s="1"/>
      <c r="D422" s="36"/>
      <c r="G422" s="65"/>
      <c r="H422" s="65"/>
      <c r="I422" s="65"/>
      <c r="K422" s="37"/>
      <c r="L422" s="37"/>
      <c r="M422" s="37"/>
      <c r="N422" s="37"/>
    </row>
    <row r="423" spans="2:14" s="2" customFormat="1">
      <c r="B423" s="1"/>
      <c r="C423" s="1"/>
      <c r="D423" s="36"/>
      <c r="G423" s="65"/>
      <c r="H423" s="65"/>
      <c r="I423" s="65"/>
      <c r="K423" s="37"/>
      <c r="L423" s="37"/>
      <c r="M423" s="37"/>
      <c r="N423" s="37"/>
    </row>
    <row r="424" spans="2:14" s="2" customFormat="1">
      <c r="B424" s="1"/>
      <c r="C424" s="1"/>
      <c r="D424" s="36"/>
      <c r="G424" s="65"/>
      <c r="H424" s="65"/>
      <c r="I424" s="65"/>
      <c r="K424" s="37"/>
      <c r="L424" s="37"/>
      <c r="M424" s="37"/>
      <c r="N424" s="37"/>
    </row>
    <row r="425" spans="2:14" s="2" customFormat="1">
      <c r="B425" s="1"/>
      <c r="C425" s="1"/>
      <c r="D425" s="36"/>
      <c r="G425" s="65"/>
      <c r="H425" s="65"/>
      <c r="I425" s="65"/>
      <c r="K425" s="37"/>
      <c r="L425" s="37"/>
      <c r="M425" s="37"/>
      <c r="N425" s="37"/>
    </row>
    <row r="426" spans="2:14" s="2" customFormat="1">
      <c r="B426" s="1"/>
      <c r="C426" s="1"/>
      <c r="D426" s="36"/>
      <c r="G426" s="65"/>
      <c r="H426" s="65"/>
      <c r="I426" s="65"/>
      <c r="K426" s="37"/>
      <c r="L426" s="37"/>
      <c r="M426" s="37"/>
      <c r="N426" s="37"/>
    </row>
    <row r="427" spans="2:14" s="2" customFormat="1">
      <c r="B427" s="1"/>
      <c r="C427" s="1"/>
      <c r="D427" s="36"/>
      <c r="G427" s="65"/>
      <c r="H427" s="65"/>
      <c r="I427" s="65"/>
      <c r="K427" s="37"/>
      <c r="L427" s="37"/>
      <c r="M427" s="37"/>
      <c r="N427" s="37"/>
    </row>
    <row r="428" spans="2:14" s="2" customFormat="1">
      <c r="B428" s="1"/>
      <c r="C428" s="1"/>
      <c r="D428" s="36"/>
      <c r="G428" s="65"/>
      <c r="H428" s="65"/>
      <c r="I428" s="65"/>
      <c r="K428" s="37"/>
      <c r="L428" s="37"/>
      <c r="M428" s="37"/>
      <c r="N428" s="37"/>
    </row>
    <row r="429" spans="2:14" s="2" customFormat="1">
      <c r="B429" s="1"/>
      <c r="C429" s="1"/>
      <c r="D429" s="36"/>
      <c r="G429" s="65"/>
      <c r="H429" s="65"/>
      <c r="I429" s="65"/>
      <c r="K429" s="37"/>
      <c r="L429" s="37"/>
      <c r="M429" s="37"/>
      <c r="N429" s="37"/>
    </row>
    <row r="430" spans="2:14" s="2" customFormat="1">
      <c r="B430" s="1"/>
      <c r="C430" s="1"/>
      <c r="D430" s="36"/>
      <c r="G430" s="65"/>
      <c r="H430" s="65"/>
      <c r="I430" s="65"/>
      <c r="K430" s="37"/>
      <c r="L430" s="37"/>
      <c r="M430" s="37"/>
      <c r="N430" s="37"/>
    </row>
    <row r="431" spans="2:14" s="2" customFormat="1">
      <c r="B431" s="1"/>
      <c r="C431" s="1"/>
      <c r="D431" s="36"/>
      <c r="G431" s="65"/>
      <c r="H431" s="65"/>
      <c r="I431" s="65"/>
      <c r="K431" s="37"/>
      <c r="L431" s="37"/>
      <c r="M431" s="37"/>
      <c r="N431" s="37"/>
    </row>
    <row r="432" spans="2:14" s="2" customFormat="1">
      <c r="B432" s="1"/>
      <c r="C432" s="1"/>
      <c r="D432" s="36"/>
      <c r="G432" s="65"/>
      <c r="H432" s="65"/>
      <c r="I432" s="65"/>
      <c r="K432" s="37"/>
      <c r="L432" s="37"/>
      <c r="M432" s="37"/>
      <c r="N432" s="37"/>
    </row>
    <row r="433" spans="2:14" s="2" customFormat="1">
      <c r="B433" s="1"/>
      <c r="C433" s="1"/>
      <c r="D433" s="36"/>
      <c r="G433" s="65"/>
      <c r="H433" s="65"/>
      <c r="I433" s="65"/>
      <c r="K433" s="37"/>
      <c r="L433" s="37"/>
      <c r="M433" s="37"/>
      <c r="N433" s="37"/>
    </row>
    <row r="434" spans="2:14" s="2" customFormat="1">
      <c r="B434" s="1"/>
      <c r="C434" s="1"/>
      <c r="D434" s="36"/>
      <c r="G434" s="65"/>
      <c r="H434" s="65"/>
      <c r="I434" s="65"/>
      <c r="K434" s="37"/>
      <c r="L434" s="37"/>
      <c r="M434" s="37"/>
      <c r="N434" s="37"/>
    </row>
    <row r="435" spans="2:14" s="2" customFormat="1">
      <c r="B435" s="1"/>
      <c r="C435" s="1"/>
      <c r="D435" s="36"/>
      <c r="G435" s="65"/>
      <c r="H435" s="65"/>
      <c r="I435" s="65"/>
      <c r="K435" s="37"/>
      <c r="L435" s="37"/>
      <c r="M435" s="37"/>
      <c r="N435" s="37"/>
    </row>
    <row r="436" spans="2:14" s="2" customFormat="1">
      <c r="B436" s="1"/>
      <c r="C436" s="1"/>
      <c r="D436" s="36"/>
      <c r="G436" s="65"/>
      <c r="H436" s="65"/>
      <c r="I436" s="65"/>
      <c r="K436" s="37"/>
      <c r="L436" s="37"/>
      <c r="M436" s="37"/>
      <c r="N436" s="37"/>
    </row>
    <row r="437" spans="2:14" s="2" customFormat="1">
      <c r="B437" s="1"/>
      <c r="C437" s="1"/>
      <c r="D437" s="36"/>
      <c r="G437" s="65"/>
      <c r="H437" s="65"/>
      <c r="I437" s="65"/>
      <c r="K437" s="37"/>
      <c r="L437" s="37"/>
      <c r="M437" s="37"/>
      <c r="N437" s="37"/>
    </row>
    <row r="438" spans="2:14" s="2" customFormat="1">
      <c r="B438" s="1"/>
      <c r="C438" s="1"/>
      <c r="D438" s="36"/>
      <c r="G438" s="65"/>
      <c r="H438" s="65"/>
      <c r="I438" s="65"/>
      <c r="K438" s="37"/>
      <c r="L438" s="37"/>
      <c r="M438" s="37"/>
      <c r="N438" s="37"/>
    </row>
    <row r="439" spans="2:14" s="2" customFormat="1">
      <c r="B439" s="1"/>
      <c r="C439" s="1"/>
      <c r="D439" s="36"/>
      <c r="G439" s="65"/>
      <c r="H439" s="65"/>
      <c r="I439" s="65"/>
      <c r="K439" s="37"/>
      <c r="L439" s="37"/>
      <c r="M439" s="37"/>
      <c r="N439" s="37"/>
    </row>
    <row r="440" spans="2:14" s="2" customFormat="1">
      <c r="B440" s="1"/>
      <c r="C440" s="1"/>
      <c r="D440" s="36"/>
      <c r="G440" s="65"/>
      <c r="H440" s="65"/>
      <c r="I440" s="65"/>
      <c r="K440" s="37"/>
      <c r="L440" s="37"/>
      <c r="M440" s="37"/>
      <c r="N440" s="37"/>
    </row>
    <row r="441" spans="2:14" s="2" customFormat="1">
      <c r="B441" s="1"/>
      <c r="C441" s="1"/>
      <c r="D441" s="36"/>
      <c r="G441" s="65"/>
      <c r="H441" s="65"/>
      <c r="I441" s="65"/>
      <c r="K441" s="37"/>
      <c r="L441" s="37"/>
      <c r="M441" s="37"/>
      <c r="N441" s="37"/>
    </row>
    <row r="442" spans="2:14" s="2" customFormat="1">
      <c r="B442" s="1"/>
      <c r="C442" s="1"/>
      <c r="D442" s="36"/>
      <c r="G442" s="65"/>
      <c r="H442" s="65"/>
      <c r="I442" s="65"/>
      <c r="K442" s="37"/>
      <c r="L442" s="37"/>
      <c r="M442" s="37"/>
      <c r="N442" s="37"/>
    </row>
    <row r="443" spans="2:14" s="2" customFormat="1">
      <c r="B443" s="1"/>
      <c r="C443" s="1"/>
      <c r="D443" s="36"/>
      <c r="G443" s="65"/>
      <c r="H443" s="65"/>
      <c r="I443" s="65"/>
      <c r="K443" s="37"/>
      <c r="L443" s="37"/>
      <c r="M443" s="37"/>
      <c r="N443" s="37"/>
    </row>
    <row r="444" spans="2:14" s="2" customFormat="1">
      <c r="B444" s="1"/>
      <c r="C444" s="1"/>
      <c r="D444" s="36"/>
      <c r="G444" s="65"/>
      <c r="H444" s="65"/>
      <c r="I444" s="65"/>
      <c r="K444" s="37"/>
      <c r="L444" s="37"/>
      <c r="M444" s="37"/>
      <c r="N444" s="37"/>
    </row>
    <row r="445" spans="2:14" s="2" customFormat="1">
      <c r="B445" s="1"/>
      <c r="C445" s="1"/>
      <c r="D445" s="36"/>
      <c r="G445" s="65"/>
      <c r="H445" s="65"/>
      <c r="I445" s="65"/>
      <c r="K445" s="37"/>
      <c r="L445" s="37"/>
      <c r="M445" s="37"/>
      <c r="N445" s="37"/>
    </row>
    <row r="446" spans="2:14" s="2" customFormat="1">
      <c r="B446" s="1"/>
      <c r="C446" s="1"/>
      <c r="D446" s="36"/>
      <c r="G446" s="65"/>
      <c r="H446" s="65"/>
      <c r="I446" s="65"/>
      <c r="K446" s="37"/>
      <c r="L446" s="37"/>
      <c r="M446" s="37"/>
      <c r="N446" s="37"/>
    </row>
    <row r="447" spans="2:14" s="2" customFormat="1">
      <c r="B447" s="1"/>
      <c r="C447" s="1"/>
      <c r="D447" s="36"/>
      <c r="G447" s="65"/>
      <c r="H447" s="65"/>
      <c r="I447" s="65"/>
      <c r="K447" s="37"/>
      <c r="L447" s="37"/>
      <c r="M447" s="37"/>
      <c r="N447" s="37"/>
    </row>
    <row r="448" spans="2:14" s="2" customFormat="1">
      <c r="B448" s="1"/>
      <c r="C448" s="1"/>
      <c r="D448" s="36"/>
      <c r="G448" s="65"/>
      <c r="H448" s="65"/>
      <c r="I448" s="65"/>
      <c r="K448" s="37"/>
      <c r="L448" s="37"/>
      <c r="M448" s="37"/>
      <c r="N448" s="37"/>
    </row>
    <row r="449" spans="2:14" s="2" customFormat="1">
      <c r="B449" s="1"/>
      <c r="C449" s="1"/>
      <c r="D449" s="36"/>
      <c r="G449" s="65"/>
      <c r="H449" s="65"/>
      <c r="I449" s="65"/>
      <c r="K449" s="37"/>
      <c r="L449" s="37"/>
      <c r="M449" s="37"/>
      <c r="N449" s="37"/>
    </row>
    <row r="450" spans="2:14" s="2" customFormat="1">
      <c r="B450" s="1"/>
      <c r="C450" s="1"/>
      <c r="D450" s="36"/>
      <c r="G450" s="65"/>
      <c r="H450" s="65"/>
      <c r="I450" s="65"/>
      <c r="K450" s="37"/>
      <c r="L450" s="37"/>
      <c r="M450" s="37"/>
      <c r="N450" s="37"/>
    </row>
    <row r="451" spans="2:14" s="2" customFormat="1">
      <c r="B451" s="1"/>
      <c r="C451" s="1"/>
      <c r="D451" s="36"/>
      <c r="G451" s="65"/>
      <c r="H451" s="65"/>
      <c r="I451" s="65"/>
      <c r="K451" s="37"/>
      <c r="L451" s="37"/>
      <c r="M451" s="37"/>
      <c r="N451" s="37"/>
    </row>
    <row r="452" spans="2:14" s="2" customFormat="1">
      <c r="B452" s="1"/>
      <c r="C452" s="1"/>
      <c r="D452" s="36"/>
      <c r="G452" s="65"/>
      <c r="H452" s="65"/>
      <c r="I452" s="65"/>
      <c r="K452" s="37"/>
      <c r="L452" s="37"/>
      <c r="M452" s="37"/>
      <c r="N452" s="37"/>
    </row>
  </sheetData>
  <mergeCells count="101">
    <mergeCell ref="A133:N133"/>
    <mergeCell ref="A134:E134"/>
    <mergeCell ref="H136:J136"/>
    <mergeCell ref="K136:N136"/>
    <mergeCell ref="H137:H138"/>
    <mergeCell ref="I137:I138"/>
    <mergeCell ref="J137:J138"/>
    <mergeCell ref="K137:L137"/>
    <mergeCell ref="M137:N137"/>
    <mergeCell ref="G136:G138"/>
    <mergeCell ref="A330:F330"/>
    <mergeCell ref="A136:A138"/>
    <mergeCell ref="B136:B138"/>
    <mergeCell ref="C136:C138"/>
    <mergeCell ref="D136:D138"/>
    <mergeCell ref="E136:E138"/>
    <mergeCell ref="F136:F138"/>
    <mergeCell ref="A265:N265"/>
    <mergeCell ref="A266:E266"/>
    <mergeCell ref="H268:J268"/>
    <mergeCell ref="A396:F396"/>
    <mergeCell ref="A199:N199"/>
    <mergeCell ref="A200:E200"/>
    <mergeCell ref="A202:A204"/>
    <mergeCell ref="B202:B204"/>
    <mergeCell ref="C202:C204"/>
    <mergeCell ref="D202:D204"/>
    <mergeCell ref="E202:E204"/>
    <mergeCell ref="F202:F204"/>
    <mergeCell ref="G202:G204"/>
    <mergeCell ref="H202:J202"/>
    <mergeCell ref="K202:N202"/>
    <mergeCell ref="H203:H204"/>
    <mergeCell ref="I203:I204"/>
    <mergeCell ref="J203:J204"/>
    <mergeCell ref="K203:L203"/>
    <mergeCell ref="M203:N203"/>
    <mergeCell ref="A264:F264"/>
    <mergeCell ref="G268:G270"/>
    <mergeCell ref="A268:A270"/>
    <mergeCell ref="B268:B270"/>
    <mergeCell ref="C268:C270"/>
    <mergeCell ref="D268:D270"/>
    <mergeCell ref="E268:E270"/>
    <mergeCell ref="A132:F132"/>
    <mergeCell ref="A331:N331"/>
    <mergeCell ref="A332:E332"/>
    <mergeCell ref="A334:A336"/>
    <mergeCell ref="B334:B336"/>
    <mergeCell ref="C334:C336"/>
    <mergeCell ref="D334:D336"/>
    <mergeCell ref="E334:E336"/>
    <mergeCell ref="F334:F336"/>
    <mergeCell ref="G334:G336"/>
    <mergeCell ref="H334:J334"/>
    <mergeCell ref="K334:N334"/>
    <mergeCell ref="H335:H336"/>
    <mergeCell ref="I335:I336"/>
    <mergeCell ref="J335:J336"/>
    <mergeCell ref="K335:L335"/>
    <mergeCell ref="M335:N335"/>
    <mergeCell ref="F268:F270"/>
    <mergeCell ref="K268:N268"/>
    <mergeCell ref="H269:H270"/>
    <mergeCell ref="I269:I270"/>
    <mergeCell ref="J269:J270"/>
    <mergeCell ref="K269:L269"/>
    <mergeCell ref="M269:N269"/>
    <mergeCell ref="A70:A72"/>
    <mergeCell ref="B70:B72"/>
    <mergeCell ref="C70:C72"/>
    <mergeCell ref="D70:D72"/>
    <mergeCell ref="E70:E72"/>
    <mergeCell ref="F70:F72"/>
    <mergeCell ref="G70:G72"/>
    <mergeCell ref="H70:J70"/>
    <mergeCell ref="K70:N70"/>
    <mergeCell ref="H71:H72"/>
    <mergeCell ref="I71:I72"/>
    <mergeCell ref="J71:J72"/>
    <mergeCell ref="K71:L71"/>
    <mergeCell ref="M71:N71"/>
    <mergeCell ref="A66:F66"/>
    <mergeCell ref="K4:N4"/>
    <mergeCell ref="H5:H6"/>
    <mergeCell ref="I5:I6"/>
    <mergeCell ref="J5:J6"/>
    <mergeCell ref="K5:L5"/>
    <mergeCell ref="M5:N5"/>
    <mergeCell ref="A67:N67"/>
    <mergeCell ref="A68:E68"/>
    <mergeCell ref="A1:N1"/>
    <mergeCell ref="A2:E2"/>
    <mergeCell ref="A4:A6"/>
    <mergeCell ref="B4:B6"/>
    <mergeCell ref="C4:C6"/>
    <mergeCell ref="D4:D6"/>
    <mergeCell ref="E4:E6"/>
    <mergeCell ref="F4:F6"/>
    <mergeCell ref="G4:G6"/>
    <mergeCell ref="H4:J4"/>
  </mergeCells>
  <printOptions horizontalCentered="1"/>
  <pageMargins left="0" right="0" top="0.39370078740157483" bottom="0.39370078740157483" header="0.19685039370078741" footer="0.19685039370078741"/>
  <pageSetup paperSize="9" scale="55" fitToHeight="0" orientation="landscape" blackAndWhite="1" r:id="rId1"/>
  <headerFooter alignWithMargins="0">
    <oddFooter>&amp;L&amp;"TH SarabunPSK,ธรรมดา"&amp;11สทช.ที่ 12  - &amp;P/&amp;N&amp;R&amp;"TH SarabunPSK,ธรรมดา"&amp;11ตุลาคม 2555</oddFooter>
  </headerFooter>
  <rowBreaks count="4" manualBreakCount="4">
    <brk id="132" max="16383" man="1"/>
    <brk id="198" max="16383" man="1"/>
    <brk id="264" max="16383" man="1"/>
    <brk id="3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23</vt:i4>
      </vt:variant>
      <vt:variant>
        <vt:lpstr>ช่วงที่มีชื่อ</vt:lpstr>
      </vt:variant>
      <vt:variant>
        <vt:i4>8</vt:i4>
      </vt:variant>
    </vt:vector>
  </HeadingPairs>
  <TitlesOfParts>
    <vt:vector size="31" baseType="lpstr">
      <vt:lpstr>ปก</vt:lpstr>
      <vt:lpstr>แหล่งวัสดุ</vt:lpstr>
      <vt:lpstr>งวดงาน</vt:lpstr>
      <vt:lpstr>งวดงานจริง</vt:lpstr>
      <vt:lpstr>BackupAC</vt:lpstr>
      <vt:lpstr>BackupCon</vt:lpstr>
      <vt:lpstr>ราคากลาง</vt:lpstr>
      <vt:lpstr>ปร.5_Roads</vt:lpstr>
      <vt:lpstr>ปร.4_Roads</vt:lpstr>
      <vt:lpstr>ปร.4_งานทั่วไป</vt:lpstr>
      <vt:lpstr>GABION BOX</vt:lpstr>
      <vt:lpstr>1.ต้นทุนถนน AC.</vt:lpstr>
      <vt:lpstr>2.ต้นทุนถนน Con.</vt:lpstr>
      <vt:lpstr>3.ต้นทุนวางท่อ</vt:lpstr>
      <vt:lpstr>4.ต้นทุนระบายน้ำ</vt:lpstr>
      <vt:lpstr>บ่อพักน้ำใต้ทางเท้า</vt:lpstr>
      <vt:lpstr>S2</vt:lpstr>
      <vt:lpstr>S3</vt:lpstr>
      <vt:lpstr>Slope_Protection</vt:lpstr>
      <vt:lpstr>รางส่งน้ำขั้นบันได</vt:lpstr>
      <vt:lpstr>บ่อรับน้ำ</vt:lpstr>
      <vt:lpstr>NO DELETE</vt:lpstr>
      <vt:lpstr>โครงข่าย</vt:lpstr>
      <vt:lpstr>'1.ต้นทุนถนน AC.'!Print_Area</vt:lpstr>
      <vt:lpstr>'2.ต้นทุนถนน Con.'!Print_Area</vt:lpstr>
      <vt:lpstr>'3.ต้นทุนวางท่อ'!Print_Area</vt:lpstr>
      <vt:lpstr>'4.ต้นทุนระบายน้ำ'!Print_Area</vt:lpstr>
      <vt:lpstr>ปร.4_Roads!Print_Area</vt:lpstr>
      <vt:lpstr>'1.ต้นทุนถนน AC.'!Print_Titles</vt:lpstr>
      <vt:lpstr>'3.ต้นทุนวางท่อ'!Print_Titles</vt:lpstr>
      <vt:lpstr>'4.ต้นทุนระบายน้ำ'!Print_Titles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</dc:creator>
  <cp:lastModifiedBy>ddd</cp:lastModifiedBy>
  <cp:lastPrinted>2015-11-25T10:34:50Z</cp:lastPrinted>
  <dcterms:created xsi:type="dcterms:W3CDTF">1999-01-11T08:20:28Z</dcterms:created>
  <dcterms:modified xsi:type="dcterms:W3CDTF">2015-11-27T08:31:31Z</dcterms:modified>
</cp:coreProperties>
</file>